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5775" activeTab="1"/>
  </bookViews>
  <sheets>
    <sheet name="Worksheet 2018" sheetId="1" r:id="rId1"/>
    <sheet name="KEJC 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Rich</author>
    <author>Rich Seckel</author>
  </authors>
  <commentList>
    <comment ref="P40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Includes development and strategic planning assistance at $3000 of $6000 BGCF grant.
</t>
        </r>
      </text>
    </comment>
    <comment ref="F41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UK Work Study plus cleaning
</t>
        </r>
      </text>
    </comment>
    <comment ref="H41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AmeriCorps as per proposed grant budget.
</t>
        </r>
      </text>
    </comment>
    <comment ref="O41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AmeriCorps
</t>
        </r>
      </text>
    </comment>
    <comment ref="F42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Includes CLINIC, KBA, AILA.
</t>
        </r>
      </text>
    </comment>
    <comment ref="H42" authorId="0">
      <text>
        <r>
          <rPr>
            <b/>
            <sz val="9"/>
            <rFont val="Tahoma"/>
            <family val="2"/>
          </rPr>
          <t>Rich:</t>
        </r>
        <r>
          <rPr>
            <sz val="9"/>
            <rFont val="Tahoma"/>
            <family val="2"/>
          </rPr>
          <t xml:space="preserve">
KBA, NELA
</t>
        </r>
      </text>
    </comment>
    <comment ref="O56" authorId="1">
      <text>
        <r>
          <rPr>
            <b/>
            <sz val="9"/>
            <rFont val="Tahoma"/>
            <family val="2"/>
          </rPr>
          <t>Rich Seckel:</t>
        </r>
        <r>
          <rPr>
            <sz val="9"/>
            <rFont val="Tahoma"/>
            <family val="2"/>
          </rPr>
          <t xml:space="preserve">
Internet $100 mo
Ready talk $300
Skype $120
NFG $1080
</t>
        </r>
      </text>
    </comment>
    <comment ref="C49" authorId="1">
      <text>
        <r>
          <rPr>
            <b/>
            <sz val="9"/>
            <rFont val="Tahoma"/>
            <family val="0"/>
          </rPr>
          <t>Rich Seckel:</t>
        </r>
        <r>
          <rPr>
            <sz val="9"/>
            <rFont val="Tahoma"/>
            <family val="0"/>
          </rPr>
          <t xml:space="preserve">
Includes new office desks and chairs
</t>
        </r>
      </text>
    </comment>
    <comment ref="C40" authorId="1">
      <text>
        <r>
          <rPr>
            <b/>
            <sz val="9"/>
            <rFont val="Tahoma"/>
            <family val="0"/>
          </rPr>
          <t>Rich Seckel:</t>
        </r>
        <r>
          <rPr>
            <sz val="9"/>
            <rFont val="Tahoma"/>
            <family val="0"/>
          </rPr>
          <t xml:space="preserve">
Interpreters
</t>
        </r>
      </text>
    </comment>
    <comment ref="C35" authorId="1">
      <text>
        <r>
          <rPr>
            <b/>
            <sz val="9"/>
            <rFont val="Tahoma"/>
            <family val="0"/>
          </rPr>
          <t>Rich Seckel:</t>
        </r>
        <r>
          <rPr>
            <sz val="9"/>
            <rFont val="Tahoma"/>
            <family val="0"/>
          </rPr>
          <t xml:space="preserve">
Did not pro-rated Immigration Attorney and DOJ rep fringes
</t>
        </r>
      </text>
    </comment>
    <comment ref="C48" authorId="1">
      <text>
        <r>
          <rPr>
            <b/>
            <sz val="9"/>
            <rFont val="Tahoma"/>
            <family val="0"/>
          </rPr>
          <t>Rich Seckel:</t>
        </r>
        <r>
          <rPr>
            <sz val="9"/>
            <rFont val="Tahoma"/>
            <family val="0"/>
          </rPr>
          <t xml:space="preserve">
Includes allocation for new case management system</t>
        </r>
      </text>
    </comment>
    <comment ref="C54" authorId="1">
      <text>
        <r>
          <rPr>
            <b/>
            <sz val="9"/>
            <rFont val="Tahoma"/>
            <family val="0"/>
          </rPr>
          <t>Rich Seckel:</t>
        </r>
        <r>
          <rPr>
            <sz val="9"/>
            <rFont val="Tahoma"/>
            <family val="0"/>
          </rPr>
          <t xml:space="preserve">
In kind
</t>
        </r>
      </text>
    </comment>
  </commentList>
</comments>
</file>

<file path=xl/sharedStrings.xml><?xml version="1.0" encoding="utf-8"?>
<sst xmlns="http://schemas.openxmlformats.org/spreadsheetml/2006/main" count="248" uniqueCount="182">
  <si>
    <t>Immigration Attorney</t>
  </si>
  <si>
    <t>Subtotal salaries</t>
  </si>
  <si>
    <t>Workers Comp</t>
  </si>
  <si>
    <t>Unemployment</t>
  </si>
  <si>
    <t>Operating expense</t>
  </si>
  <si>
    <t>Capital Additions</t>
  </si>
  <si>
    <t>Equipment Rental</t>
  </si>
  <si>
    <t>Insurance</t>
  </si>
  <si>
    <t>Library</t>
  </si>
  <si>
    <t>Office Supplies</t>
  </si>
  <si>
    <t>Prof Tax Audit</t>
  </si>
  <si>
    <t>Prof Accounting</t>
  </si>
  <si>
    <t>Rent</t>
  </si>
  <si>
    <t>Repairs</t>
  </si>
  <si>
    <t>Travel</t>
  </si>
  <si>
    <t>Subtotal operating</t>
  </si>
  <si>
    <t>Total expense</t>
  </si>
  <si>
    <t>Projected income</t>
  </si>
  <si>
    <t>Program Contributions</t>
  </si>
  <si>
    <t>Total income</t>
  </si>
  <si>
    <t>Income over expense</t>
  </si>
  <si>
    <t>Expense</t>
  </si>
  <si>
    <t>Salaries</t>
  </si>
  <si>
    <t>Benefits</t>
  </si>
  <si>
    <t>Total Payroll</t>
  </si>
  <si>
    <t>Subtotal benefits</t>
  </si>
  <si>
    <t>MSLC</t>
  </si>
  <si>
    <t>Total</t>
  </si>
  <si>
    <t>CERS retirement</t>
  </si>
  <si>
    <t>Immigrant</t>
  </si>
  <si>
    <t>Rights</t>
  </si>
  <si>
    <t>Director</t>
  </si>
  <si>
    <t>KEJC</t>
  </si>
  <si>
    <t>for KEJC column</t>
  </si>
  <si>
    <t>General</t>
  </si>
  <si>
    <t>Printing and Copying</t>
  </si>
  <si>
    <t>Language Line</t>
  </si>
  <si>
    <t>KEJC Working Papers</t>
  </si>
  <si>
    <t>Miscellaneous</t>
  </si>
  <si>
    <t>Dues</t>
  </si>
  <si>
    <t>Interest Income</t>
  </si>
  <si>
    <t>Citizenship Coordinator</t>
  </si>
  <si>
    <t>Employment Attorney</t>
  </si>
  <si>
    <t xml:space="preserve">Dental </t>
  </si>
  <si>
    <t xml:space="preserve">Health </t>
  </si>
  <si>
    <t xml:space="preserve">Life </t>
  </si>
  <si>
    <t>Disability</t>
  </si>
  <si>
    <t>Postage and Delivery</t>
  </si>
  <si>
    <t>Litigation Support</t>
  </si>
  <si>
    <t>Case Management</t>
  </si>
  <si>
    <t>Small Grants</t>
  </si>
  <si>
    <t>Client Fees</t>
  </si>
  <si>
    <t>Individual Donations</t>
  </si>
  <si>
    <t>Fundraising Events</t>
  </si>
  <si>
    <t>FCBF</t>
  </si>
  <si>
    <t>Catholic Diocese</t>
  </si>
  <si>
    <t>Task Force Sponsors</t>
  </si>
  <si>
    <t>Fundraising Goal</t>
  </si>
  <si>
    <t>Telephone, Internet</t>
  </si>
  <si>
    <t>Employ</t>
  </si>
  <si>
    <t>Law</t>
  </si>
  <si>
    <t>Health</t>
  </si>
  <si>
    <t>IMM</t>
  </si>
  <si>
    <t>Fundraising Goal Rounded</t>
  </si>
  <si>
    <t>Attorney</t>
  </si>
  <si>
    <t>Senior</t>
  </si>
  <si>
    <t>Law Fellow</t>
  </si>
  <si>
    <t>Health Law Fellow</t>
  </si>
  <si>
    <t>Foundation Healthy KY</t>
  </si>
  <si>
    <t>Ops</t>
  </si>
  <si>
    <t>Fellow</t>
  </si>
  <si>
    <t>Task Forces &amp; Meetings</t>
  </si>
  <si>
    <t>Difference</t>
  </si>
  <si>
    <t>Public Welfare</t>
  </si>
  <si>
    <t>BGCF</t>
  </si>
  <si>
    <t>CHIPRA</t>
  </si>
  <si>
    <t>Health Outreach II</t>
  </si>
  <si>
    <t>Boots</t>
  </si>
  <si>
    <t>Foundation Boots</t>
  </si>
  <si>
    <t>Interact for Health</t>
  </si>
  <si>
    <t>Mason Fund Interest</t>
  </si>
  <si>
    <t>$900 on anniversary</t>
  </si>
  <si>
    <t>Percent</t>
  </si>
  <si>
    <t>Salary</t>
  </si>
  <si>
    <t>Increase</t>
  </si>
  <si>
    <t>Attorney Fees</t>
  </si>
  <si>
    <t>Harvard</t>
  </si>
  <si>
    <t>Fellowship</t>
  </si>
  <si>
    <t>on</t>
  </si>
  <si>
    <t>Anniv</t>
  </si>
  <si>
    <t>Position merged into Fellowship</t>
  </si>
  <si>
    <t>Position ended with CHIPRA grant</t>
  </si>
  <si>
    <t xml:space="preserve">before </t>
  </si>
  <si>
    <t>Gains</t>
  </si>
  <si>
    <t>Contract Labor AmeriCorps</t>
  </si>
  <si>
    <t>Health Gains</t>
  </si>
  <si>
    <t>Health Communications</t>
  </si>
  <si>
    <t>KBF LBF</t>
  </si>
  <si>
    <t>Printer, postage meter as per vendor rates</t>
  </si>
  <si>
    <t>Two year average trended &amp; per grants</t>
  </si>
  <si>
    <t>Annual fees and training</t>
  </si>
  <si>
    <t>Per task forces and grants</t>
  </si>
  <si>
    <t>As per MOA with programs</t>
  </si>
  <si>
    <t>Renewal</t>
  </si>
  <si>
    <t>Grant ended</t>
  </si>
  <si>
    <t>$1000 increase over actual</t>
  </si>
  <si>
    <t>As per recent gifts</t>
  </si>
  <si>
    <t>Eliminating low yield strategy</t>
  </si>
  <si>
    <t>Available 1-time restricted</t>
  </si>
  <si>
    <t>Workstations, printers, scanners</t>
  </si>
  <si>
    <t>Consultants and Subgrants</t>
  </si>
  <si>
    <t>AmeriCorps, work study, cleaning</t>
  </si>
  <si>
    <t>DOJ Accredited Rep</t>
  </si>
  <si>
    <t>Legal Assistant I</t>
  </si>
  <si>
    <t>Legal Assistant II</t>
  </si>
  <si>
    <t>Outreach Coordinator</t>
  </si>
  <si>
    <t>DOJ</t>
  </si>
  <si>
    <t>$900 on anniv plus $96 to 2%</t>
  </si>
  <si>
    <t>Skadden</t>
  </si>
  <si>
    <t>Rep</t>
  </si>
  <si>
    <t>increase</t>
  </si>
  <si>
    <t>MetLife 2018 rate</t>
  </si>
  <si>
    <t>Actuals itemized and per grants</t>
  </si>
  <si>
    <t>Actuals trended with casehandler increase</t>
  </si>
  <si>
    <t>Actuals trended and per grants</t>
  </si>
  <si>
    <t>As per three year audit bid</t>
  </si>
  <si>
    <t>Minor advice, no change</t>
  </si>
  <si>
    <t>Two year average plus contingency</t>
  </si>
  <si>
    <t>201 W. Short Bundle</t>
  </si>
  <si>
    <t>Data backup</t>
  </si>
  <si>
    <t>MSLC Lex bundle</t>
  </si>
  <si>
    <t>Louis Bundle</t>
  </si>
  <si>
    <t>Ready Talk</t>
  </si>
  <si>
    <t>Quickbooks</t>
  </si>
  <si>
    <t>NFG</t>
  </si>
  <si>
    <t>Skype</t>
  </si>
  <si>
    <t>Telephone 2018</t>
  </si>
  <si>
    <t>Net</t>
  </si>
  <si>
    <t>Regional Grant renewal amount</t>
  </si>
  <si>
    <t>New Grants General</t>
  </si>
  <si>
    <t>New Grants Safety Net</t>
  </si>
  <si>
    <t>Major Gift Exploration</t>
  </si>
  <si>
    <t>FICA rate</t>
  </si>
  <si>
    <t>Shred-it, Courtnet, general</t>
  </si>
  <si>
    <t>Actuals as per grants, current bills rounded</t>
  </si>
  <si>
    <t>United Way of Bluegrass</t>
  </si>
  <si>
    <t>New initiative</t>
  </si>
  <si>
    <t>As per investment policy</t>
  </si>
  <si>
    <t>VOCA</t>
  </si>
  <si>
    <t>VOCA Fellow I</t>
  </si>
  <si>
    <t>VOCA Fellow II</t>
  </si>
  <si>
    <t>VOCA Legal Assistant</t>
  </si>
  <si>
    <t>In-Kind Rent</t>
  </si>
  <si>
    <t>DEI 2018 rates based on plan choices</t>
  </si>
  <si>
    <t xml:space="preserve">Revised Budget with Victim of Crime Act Funds </t>
  </si>
  <si>
    <t>FICA 7.65%</t>
  </si>
  <si>
    <t>-2018</t>
  </si>
  <si>
    <t>2019 assumptions</t>
  </si>
  <si>
    <t>Senior Counsel</t>
  </si>
  <si>
    <t>$720 toward scale plus $900 on anniv</t>
  </si>
  <si>
    <t>$360 toward scale plus $900 on anniv</t>
  </si>
  <si>
    <t>$900 on anniv plus $48 to 2%</t>
  </si>
  <si>
    <t>Boots, development, website, design</t>
  </si>
  <si>
    <t>Trended including $40 a month MSLC</t>
  </si>
  <si>
    <t>Current rent December 2018</t>
  </si>
  <si>
    <t>Wix website</t>
  </si>
  <si>
    <t>Inaugural Equal Justice event</t>
  </si>
  <si>
    <t>Continuation of NHeLP support</t>
  </si>
  <si>
    <t>Actuals trended over 2 years</t>
  </si>
  <si>
    <t>Actuals trended including giving days</t>
  </si>
  <si>
    <t>Renewal already received</t>
  </si>
  <si>
    <t>Interact for Health add on continued</t>
  </si>
  <si>
    <t>As per grant budget</t>
  </si>
  <si>
    <t>Includes pilot LBF grant</t>
  </si>
  <si>
    <t>Continuation of 2018 increase</t>
  </si>
  <si>
    <t>AILA and congregations</t>
  </si>
  <si>
    <t>Lowered risk</t>
  </si>
  <si>
    <t>Projected CERS 2018-2019 rate (22.77%)</t>
  </si>
  <si>
    <t>50 cents per hour on anniversary</t>
  </si>
  <si>
    <t>KESA 2018 rate 0.19 per hundred</t>
  </si>
  <si>
    <t>UI 2019 base and KEJC rate</t>
  </si>
  <si>
    <t>KEJC with Maxwell Street Legal Clinic 2019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</si>
</sst>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[$-409]dddd\,\ mmmm\ dd\,\ yyyy"/>
    <numFmt numFmtId="170" formatCode="[$-409]h:mm:ss\ AM/PM"/>
    <numFmt numFmtId="171" formatCode="&quot;$&quot;#,##0.00"/>
    <numFmt numFmtId="172" formatCode="#,##0.000"/>
    <numFmt numFmtId="173" formatCode="#,##0.000000000000"/>
    <numFmt numFmtId="174" formatCode="0.00000"/>
    <numFmt numFmtId="175" formatCode="_(&quot;$&quot;* #,##0.0_);_(&quot;$&quot;* \(#,##0.0\);_(&quot;$&quot;* &quot;-&quot;??_);_(@_)"/>
    <numFmt numFmtId="176" formatCode="_(&quot;$&quot;* #,##0.000_);_(&quot;$&quot;* \(#,##0.00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F800]dddd\,\ mmmm\ dd\,\ yyyy"/>
    <numFmt numFmtId="183" formatCode="0.0000000"/>
    <numFmt numFmtId="184" formatCode="0.000000"/>
    <numFmt numFmtId="185" formatCode="0.000%"/>
    <numFmt numFmtId="186" formatCode="0.0000%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39" fontId="0" fillId="0" borderId="0" xfId="42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42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3" fontId="0" fillId="0" borderId="0" xfId="42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17" fontId="1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59" applyNumberFormat="1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5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4" fontId="54" fillId="0" borderId="0" xfId="0" applyNumberFormat="1" applyFont="1" applyFill="1" applyBorder="1" applyAlignment="1" applyProtection="1">
      <alignment/>
      <protection locked="0"/>
    </xf>
    <xf numFmtId="4" fontId="55" fillId="0" borderId="0" xfId="0" applyNumberFormat="1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/>
      <protection locked="0"/>
    </xf>
    <xf numFmtId="4" fontId="0" fillId="0" borderId="0" xfId="42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0" fillId="0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59" applyNumberFormat="1" applyFont="1" applyFill="1" applyBorder="1" applyAlignment="1" applyProtection="1">
      <alignment horizontal="left"/>
      <protection locked="0"/>
    </xf>
    <xf numFmtId="4" fontId="59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55" fillId="0" borderId="10" xfId="0" applyNumberFormat="1" applyFont="1" applyFill="1" applyBorder="1" applyAlignment="1" applyProtection="1">
      <alignment/>
      <protection locked="0"/>
    </xf>
    <xf numFmtId="17" fontId="1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42" applyNumberFormat="1" applyFont="1" applyFill="1" applyBorder="1" applyAlignment="1" applyProtection="1">
      <alignment/>
      <protection locked="0"/>
    </xf>
    <xf numFmtId="4" fontId="0" fillId="0" borderId="10" xfId="42" applyNumberFormat="1" applyFont="1" applyBorder="1" applyAlignment="1">
      <alignment/>
    </xf>
    <xf numFmtId="4" fontId="1" fillId="0" borderId="10" xfId="0" applyNumberFormat="1" applyFont="1" applyFill="1" applyBorder="1" applyAlignment="1" applyProtection="1">
      <alignment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/>
      <protection locked="0"/>
    </xf>
    <xf numFmtId="4" fontId="60" fillId="0" borderId="0" xfId="0" applyNumberFormat="1" applyFont="1" applyFill="1" applyBorder="1" applyAlignment="1" applyProtection="1">
      <alignment/>
      <protection locked="0"/>
    </xf>
    <xf numFmtId="4" fontId="60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17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55" fillId="0" borderId="11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4" fontId="0" fillId="0" borderId="10" xfId="42" applyNumberFormat="1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Fill="1" applyBorder="1" applyAlignment="1" applyProtection="1">
      <alignment/>
      <protection locked="0"/>
    </xf>
    <xf numFmtId="4" fontId="56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B16" sqref="B16"/>
    </sheetView>
  </sheetViews>
  <sheetFormatPr defaultColWidth="10.00390625" defaultRowHeight="12.75"/>
  <cols>
    <col min="1" max="1" width="20.00390625" style="2" customWidth="1"/>
    <col min="2" max="2" width="12.00390625" style="2" customWidth="1"/>
    <col min="3" max="4" width="13.00390625" style="2" customWidth="1"/>
    <col min="5" max="5" width="11.421875" style="2" customWidth="1"/>
    <col min="6" max="6" width="3.00390625" style="2" customWidth="1"/>
    <col min="7" max="7" width="12.00390625" style="2" customWidth="1"/>
    <col min="8" max="8" width="9.00390625" style="2" customWidth="1"/>
    <col min="9" max="9" width="9.140625" style="0" customWidth="1"/>
    <col min="10" max="16384" width="10.00390625" style="2" customWidth="1"/>
  </cols>
  <sheetData>
    <row r="1" spans="1:7" ht="18">
      <c r="A1" s="24" t="s">
        <v>37</v>
      </c>
      <c r="B1" s="5"/>
      <c r="C1" s="5"/>
      <c r="D1" s="5"/>
      <c r="E1" s="5"/>
      <c r="G1" s="6"/>
    </row>
    <row r="2" spans="1:7" ht="12.75">
      <c r="A2" s="10" t="s">
        <v>33</v>
      </c>
      <c r="B2" s="5"/>
      <c r="C2" s="5"/>
      <c r="D2" s="5"/>
      <c r="E2" s="5"/>
      <c r="G2" s="5"/>
    </row>
    <row r="3" spans="1:7" ht="12.75">
      <c r="A3" s="10"/>
      <c r="B3" s="5"/>
      <c r="C3" s="5"/>
      <c r="D3" s="5"/>
      <c r="E3" s="5"/>
      <c r="G3" s="5"/>
    </row>
    <row r="4" spans="1:7" ht="12.75">
      <c r="A4" s="22"/>
      <c r="B4" s="17"/>
      <c r="C4" s="27"/>
      <c r="D4" s="27"/>
      <c r="E4" s="27"/>
      <c r="F4" s="26"/>
      <c r="G4" s="22"/>
    </row>
    <row r="5" spans="1:7" ht="12.75">
      <c r="A5" s="1" t="s">
        <v>136</v>
      </c>
      <c r="B5" s="28" t="s">
        <v>21</v>
      </c>
      <c r="C5" s="27"/>
      <c r="D5" s="27"/>
      <c r="E5" s="27"/>
      <c r="F5" s="26"/>
      <c r="G5" s="22"/>
    </row>
    <row r="6" spans="1:7" ht="12.75">
      <c r="A6" s="5" t="s">
        <v>128</v>
      </c>
      <c r="B6" s="17">
        <f>218*12</f>
        <v>2616</v>
      </c>
      <c r="C6" s="27"/>
      <c r="D6" s="27"/>
      <c r="E6" s="27"/>
      <c r="F6" s="26"/>
      <c r="G6" s="22"/>
    </row>
    <row r="7" spans="1:7" ht="12.75">
      <c r="A7" s="5" t="s">
        <v>129</v>
      </c>
      <c r="B7" s="17">
        <f>53*12</f>
        <v>636</v>
      </c>
      <c r="C7" s="27"/>
      <c r="D7" s="27"/>
      <c r="E7" s="27"/>
      <c r="F7" s="26"/>
      <c r="G7" s="22"/>
    </row>
    <row r="8" spans="1:7" ht="12.75">
      <c r="A8" s="5" t="s">
        <v>165</v>
      </c>
      <c r="B8" s="17">
        <v>600</v>
      </c>
      <c r="C8" s="27"/>
      <c r="D8" s="27"/>
      <c r="E8" s="27"/>
      <c r="F8" s="26"/>
      <c r="G8" s="22"/>
    </row>
    <row r="9" spans="1:7" ht="12.75">
      <c r="A9" s="5" t="s">
        <v>130</v>
      </c>
      <c r="B9" s="17">
        <f>(269.96+0.04)*12</f>
        <v>3240</v>
      </c>
      <c r="C9" s="17"/>
      <c r="D9" s="17"/>
      <c r="E9" s="17"/>
      <c r="F9" s="26"/>
      <c r="G9" s="22"/>
    </row>
    <row r="10" spans="1:7" ht="12.75">
      <c r="A10" s="5" t="s">
        <v>131</v>
      </c>
      <c r="B10" s="17">
        <f>(144.08+0.92)*12</f>
        <v>1740</v>
      </c>
      <c r="C10" s="17"/>
      <c r="D10" s="17"/>
      <c r="E10" s="17"/>
      <c r="F10" s="26"/>
      <c r="G10" s="22"/>
    </row>
    <row r="11" spans="1:7" ht="12.75">
      <c r="A11" s="5" t="s">
        <v>132</v>
      </c>
      <c r="B11" s="17">
        <v>768</v>
      </c>
      <c r="C11" s="17"/>
      <c r="D11" s="17"/>
      <c r="E11" s="17"/>
      <c r="F11" s="26"/>
      <c r="G11" s="22"/>
    </row>
    <row r="12" spans="1:7" ht="12.75">
      <c r="A12" s="5" t="s">
        <v>36</v>
      </c>
      <c r="B12" s="8">
        <f>320*12</f>
        <v>3840</v>
      </c>
      <c r="C12" s="8"/>
      <c r="D12" s="8"/>
      <c r="E12" s="8"/>
      <c r="G12" s="22"/>
    </row>
    <row r="13" spans="1:7" ht="12.75">
      <c r="A13" s="5" t="s">
        <v>133</v>
      </c>
      <c r="B13" s="17">
        <f>(131.2+15)*12</f>
        <v>1754.3999999999999</v>
      </c>
      <c r="C13" s="8"/>
      <c r="D13" s="8"/>
      <c r="E13" s="8"/>
      <c r="G13" s="22"/>
    </row>
    <row r="14" spans="1:7" ht="12.75">
      <c r="A14" s="5" t="s">
        <v>134</v>
      </c>
      <c r="B14" s="8">
        <f>119*12</f>
        <v>1428</v>
      </c>
      <c r="C14" s="8"/>
      <c r="D14" s="8"/>
      <c r="E14" s="8"/>
      <c r="G14" s="22"/>
    </row>
    <row r="15" spans="1:7" ht="12.75">
      <c r="A15" s="5" t="s">
        <v>135</v>
      </c>
      <c r="B15" s="8">
        <v>120</v>
      </c>
      <c r="C15" s="8"/>
      <c r="D15" s="8"/>
      <c r="E15" s="8"/>
      <c r="G15" s="22"/>
    </row>
    <row r="16" spans="1:7" ht="12.75">
      <c r="A16" s="5"/>
      <c r="B16" s="8">
        <f>SUM(B6:B14)</f>
        <v>16622.4</v>
      </c>
      <c r="C16" s="8"/>
      <c r="D16" s="8"/>
      <c r="E16" s="8"/>
      <c r="G16" s="13"/>
    </row>
    <row r="17" spans="1:7" ht="12.75">
      <c r="A17" s="5"/>
      <c r="B17" s="8"/>
      <c r="C17" s="8"/>
      <c r="D17" s="8"/>
      <c r="E17" s="8"/>
      <c r="G17" s="13"/>
    </row>
    <row r="18" spans="1:7" ht="12.75">
      <c r="A18" s="10"/>
      <c r="B18" s="8"/>
      <c r="C18" s="8"/>
      <c r="D18" s="8"/>
      <c r="E18" s="8"/>
      <c r="G18" s="14"/>
    </row>
    <row r="19" spans="1:7" ht="12.75">
      <c r="A19" s="22"/>
      <c r="B19" s="8"/>
      <c r="C19" s="8"/>
      <c r="D19" s="8"/>
      <c r="E19" s="8"/>
      <c r="G19" s="14"/>
    </row>
    <row r="20" spans="1:7" ht="12.75">
      <c r="A20" s="22"/>
      <c r="B20" s="8"/>
      <c r="C20" s="8"/>
      <c r="D20" s="8"/>
      <c r="E20" s="8"/>
      <c r="G20" s="25"/>
    </row>
    <row r="21" spans="1:7" ht="12.75">
      <c r="A21" s="22"/>
      <c r="B21" s="8"/>
      <c r="C21" s="8"/>
      <c r="D21" s="8"/>
      <c r="E21" s="8"/>
      <c r="G21" s="25"/>
    </row>
    <row r="22" spans="1:7" ht="12.75">
      <c r="A22" s="10"/>
      <c r="B22" s="8"/>
      <c r="C22" s="8"/>
      <c r="D22" s="8"/>
      <c r="E22" s="8"/>
      <c r="G22" s="13"/>
    </row>
    <row r="23" spans="1:7" ht="12.75">
      <c r="A23" s="5"/>
      <c r="B23" s="8"/>
      <c r="C23" s="8"/>
      <c r="D23" s="8"/>
      <c r="E23" s="8"/>
      <c r="G23" s="5"/>
    </row>
    <row r="24" spans="1:7" ht="12.75">
      <c r="A24" s="1"/>
      <c r="B24" s="8"/>
      <c r="C24" s="8"/>
      <c r="D24" s="8"/>
      <c r="E24" s="8"/>
      <c r="G24" s="5"/>
    </row>
    <row r="25" spans="1:7" ht="12.75">
      <c r="A25" s="5"/>
      <c r="B25" s="8"/>
      <c r="C25" s="8"/>
      <c r="D25" s="8"/>
      <c r="E25" s="8"/>
      <c r="G25" s="5"/>
    </row>
    <row r="26" spans="1:7" ht="12.75">
      <c r="A26" s="1"/>
      <c r="B26" s="8"/>
      <c r="C26" s="8"/>
      <c r="D26" s="8"/>
      <c r="E26" s="8"/>
      <c r="G26" s="5"/>
    </row>
    <row r="27" spans="1:7" ht="12.75">
      <c r="A27" s="5"/>
      <c r="B27" s="8"/>
      <c r="C27" s="8"/>
      <c r="D27" s="8"/>
      <c r="E27" s="8"/>
      <c r="G27" s="5"/>
    </row>
    <row r="28" spans="1:7" ht="12.75">
      <c r="A28" s="5"/>
      <c r="B28" s="8"/>
      <c r="C28" s="8"/>
      <c r="D28" s="8"/>
      <c r="E28" s="8"/>
      <c r="G28" s="13"/>
    </row>
    <row r="29" spans="1:7" ht="12.75">
      <c r="A29" s="5"/>
      <c r="B29" s="8"/>
      <c r="C29" s="8"/>
      <c r="D29" s="8"/>
      <c r="E29" s="8"/>
      <c r="G29" s="13"/>
    </row>
    <row r="30" spans="1:7" ht="12.75">
      <c r="A30" s="13"/>
      <c r="B30" s="8"/>
      <c r="C30" s="8"/>
      <c r="D30" s="8"/>
      <c r="E30" s="8"/>
      <c r="G30" s="5"/>
    </row>
    <row r="31" spans="1:7" ht="12.75">
      <c r="A31" s="5"/>
      <c r="B31" s="8"/>
      <c r="C31" s="8"/>
      <c r="D31" s="8"/>
      <c r="E31" s="8"/>
      <c r="G31" s="5"/>
    </row>
    <row r="32" spans="1:7" ht="12.75">
      <c r="A32" s="5"/>
      <c r="B32" s="8"/>
      <c r="C32" s="8"/>
      <c r="D32" s="8"/>
      <c r="E32" s="8"/>
      <c r="G32" s="13"/>
    </row>
    <row r="33" spans="1:7" ht="12.75">
      <c r="A33" s="5"/>
      <c r="B33" s="8"/>
      <c r="C33" s="8"/>
      <c r="D33" s="8"/>
      <c r="E33" s="8"/>
      <c r="G33" s="5"/>
    </row>
    <row r="34" spans="1:7" ht="12.75">
      <c r="A34" s="5"/>
      <c r="B34" s="8"/>
      <c r="C34" s="8"/>
      <c r="D34" s="8"/>
      <c r="E34" s="8"/>
      <c r="G34" s="5"/>
    </row>
    <row r="35" spans="1:7" ht="12.75">
      <c r="A35" s="5"/>
      <c r="B35" s="8"/>
      <c r="C35" s="8"/>
      <c r="D35" s="8"/>
      <c r="E35" s="8"/>
      <c r="G35" s="13"/>
    </row>
    <row r="36" spans="1:7" ht="12.75">
      <c r="A36" s="5"/>
      <c r="B36" s="8"/>
      <c r="C36" s="8"/>
      <c r="D36" s="8"/>
      <c r="E36" s="8"/>
      <c r="G36" s="13"/>
    </row>
    <row r="37" spans="1:7" ht="12.75">
      <c r="A37" s="5"/>
      <c r="B37" s="8"/>
      <c r="C37" s="8"/>
      <c r="D37" s="8"/>
      <c r="E37" s="8"/>
      <c r="G37" s="5"/>
    </row>
    <row r="38" spans="1:7" ht="12.75">
      <c r="A38" s="5"/>
      <c r="B38" s="8"/>
      <c r="C38" s="8"/>
      <c r="D38" s="8"/>
      <c r="E38" s="8"/>
      <c r="G38" s="13"/>
    </row>
    <row r="39" spans="1:7" ht="12.75">
      <c r="A39" s="5"/>
      <c r="B39" s="8"/>
      <c r="C39" s="8"/>
      <c r="D39" s="8"/>
      <c r="E39" s="8"/>
      <c r="G39" s="5"/>
    </row>
    <row r="40" spans="1:7" ht="12.75">
      <c r="A40" s="5"/>
      <c r="B40" s="8"/>
      <c r="C40" s="8"/>
      <c r="D40" s="8"/>
      <c r="E40" s="8"/>
      <c r="G40" s="5"/>
    </row>
    <row r="41" spans="1:7" ht="12.75">
      <c r="A41" s="5"/>
      <c r="B41" s="8"/>
      <c r="C41" s="8"/>
      <c r="D41" s="8"/>
      <c r="E41" s="8"/>
      <c r="G41" s="5"/>
    </row>
    <row r="42" spans="1:7" ht="12.75">
      <c r="A42" s="13"/>
      <c r="B42" s="8"/>
      <c r="C42" s="8"/>
      <c r="D42" s="8"/>
      <c r="E42" s="8"/>
      <c r="G42" s="13"/>
    </row>
    <row r="43" spans="1:7" ht="12.75">
      <c r="A43" s="5"/>
      <c r="B43" s="8"/>
      <c r="C43" s="8"/>
      <c r="D43" s="8"/>
      <c r="E43" s="8"/>
      <c r="G43" s="13"/>
    </row>
    <row r="44" spans="1:7" ht="12.75">
      <c r="A44" s="5"/>
      <c r="B44" s="8"/>
      <c r="C44" s="8"/>
      <c r="D44" s="8"/>
      <c r="E44" s="8"/>
      <c r="G44" s="5"/>
    </row>
    <row r="45" spans="1:7" ht="12.75">
      <c r="A45" s="1"/>
      <c r="B45" s="8"/>
      <c r="C45" s="8"/>
      <c r="D45" s="8"/>
      <c r="E45" s="8"/>
      <c r="G45" s="5"/>
    </row>
    <row r="46" spans="1:7" ht="12.75">
      <c r="A46" s="1"/>
      <c r="B46" s="9"/>
      <c r="C46" s="9"/>
      <c r="D46" s="9"/>
      <c r="E46" s="9"/>
      <c r="G46" s="5"/>
    </row>
    <row r="47" spans="1:7" ht="12.75">
      <c r="A47" s="5"/>
      <c r="B47" s="5"/>
      <c r="C47" s="5"/>
      <c r="D47" s="5"/>
      <c r="E47" s="5"/>
      <c r="G47" s="5"/>
    </row>
    <row r="48" spans="1:7" ht="12.75">
      <c r="A48" s="1"/>
      <c r="B48" s="5"/>
      <c r="C48" s="5"/>
      <c r="D48" s="5"/>
      <c r="E48" s="5"/>
      <c r="G48" s="5"/>
    </row>
    <row r="49" spans="1:7" ht="12.75">
      <c r="A49" s="5"/>
      <c r="B49" s="8"/>
      <c r="C49" s="8"/>
      <c r="D49" s="8"/>
      <c r="E49" s="8"/>
      <c r="G49" s="13"/>
    </row>
    <row r="50" spans="1:7" ht="12.75">
      <c r="A50" s="5"/>
      <c r="B50" s="8"/>
      <c r="C50" s="8"/>
      <c r="D50" s="8"/>
      <c r="E50" s="8"/>
      <c r="G50" s="5"/>
    </row>
    <row r="51" spans="1:7" ht="12.75">
      <c r="A51" s="5"/>
      <c r="B51" s="8"/>
      <c r="C51" s="8"/>
      <c r="D51" s="8"/>
      <c r="E51" s="8"/>
      <c r="G51" s="5"/>
    </row>
    <row r="52" spans="1:7" ht="12.75">
      <c r="A52" s="5"/>
      <c r="B52" s="8"/>
      <c r="C52" s="8"/>
      <c r="D52" s="8"/>
      <c r="E52" s="8"/>
      <c r="G52" s="13"/>
    </row>
    <row r="53" spans="1:7" ht="12.75">
      <c r="A53" s="5"/>
      <c r="B53" s="8"/>
      <c r="C53" s="8"/>
      <c r="D53" s="8"/>
      <c r="E53" s="8"/>
      <c r="G53" s="13"/>
    </row>
    <row r="54" spans="1:7" ht="12.75">
      <c r="A54" s="5"/>
      <c r="B54" s="8"/>
      <c r="C54" s="8"/>
      <c r="D54" s="8"/>
      <c r="E54" s="8"/>
      <c r="G54" s="5"/>
    </row>
    <row r="55" spans="1:7" ht="12.75">
      <c r="A55" s="15"/>
      <c r="B55" s="8"/>
      <c r="C55" s="8"/>
      <c r="D55" s="8"/>
      <c r="E55" s="8"/>
      <c r="G55" s="15"/>
    </row>
    <row r="56" spans="1:7" ht="12.75">
      <c r="A56" s="15"/>
      <c r="B56" s="8"/>
      <c r="C56" s="8"/>
      <c r="D56" s="8"/>
      <c r="E56" s="8"/>
      <c r="G56" s="15"/>
    </row>
    <row r="57" spans="1:7" ht="12.75">
      <c r="A57" s="15"/>
      <c r="B57" s="8"/>
      <c r="C57" s="8"/>
      <c r="D57" s="8"/>
      <c r="E57" s="8"/>
      <c r="G57" s="15"/>
    </row>
    <row r="58" spans="1:7" ht="12.75">
      <c r="A58" s="5"/>
      <c r="B58" s="8"/>
      <c r="C58" s="8"/>
      <c r="D58" s="8"/>
      <c r="E58" s="8"/>
      <c r="G58" s="13"/>
    </row>
    <row r="59" spans="1:7" ht="12.75">
      <c r="A59" s="1"/>
      <c r="B59" s="8"/>
      <c r="C59" s="8"/>
      <c r="D59" s="8"/>
      <c r="E59" s="8"/>
      <c r="G59" s="5"/>
    </row>
    <row r="60" spans="1:7" ht="12.75">
      <c r="A60" s="1"/>
      <c r="B60" s="9"/>
      <c r="C60" s="9"/>
      <c r="D60" s="9"/>
      <c r="E60" s="9"/>
      <c r="G60" s="5"/>
    </row>
    <row r="61" spans="1:7" ht="12.75">
      <c r="A61" s="1"/>
      <c r="B61" s="9"/>
      <c r="C61" s="9"/>
      <c r="D61" s="9"/>
      <c r="E61" s="9"/>
      <c r="G61" s="5"/>
    </row>
    <row r="62" spans="1:7" ht="12.75">
      <c r="A62" s="10"/>
      <c r="B62" s="9"/>
      <c r="C62" s="17"/>
      <c r="D62" s="21"/>
      <c r="E62" s="19"/>
      <c r="G62" s="5"/>
    </row>
    <row r="63" spans="1:5" ht="12.75">
      <c r="A63" s="12"/>
      <c r="B63" s="5"/>
      <c r="C63" s="16"/>
      <c r="D63" s="20"/>
      <c r="E63" s="19"/>
    </row>
    <row r="64" spans="1:7" ht="12.75">
      <c r="A64" s="10"/>
      <c r="B64" s="5"/>
      <c r="C64" s="8"/>
      <c r="D64" s="8"/>
      <c r="E64" s="8"/>
      <c r="G64" s="5"/>
    </row>
    <row r="65" spans="1:7" ht="12.75">
      <c r="A65" s="10"/>
      <c r="B65" s="5"/>
      <c r="C65" s="8"/>
      <c r="D65" s="18"/>
      <c r="E65" s="19"/>
      <c r="G65" s="5"/>
    </row>
  </sheetData>
  <sheetProtection/>
  <printOptions/>
  <pageMargins left="0.39305555555555555" right="0.39305555555555555" top="0.7868055555555555" bottom="0.7868055555555555" header="0.5" footer="0.75"/>
  <pageSetup horizontalDpi="600" verticalDpi="600" orientation="portrait" r:id="rId1"/>
  <rowBreaks count="1" manualBreakCount="1">
    <brk id="6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5.7109375" style="0" customWidth="1"/>
    <col min="2" max="3" width="11.7109375" style="0" customWidth="1"/>
    <col min="4" max="6" width="11.7109375" style="0" hidden="1" customWidth="1"/>
    <col min="7" max="7" width="11.7109375" style="45" customWidth="1"/>
    <col min="8" max="8" width="11.7109375" style="45" hidden="1" customWidth="1"/>
    <col min="9" max="15" width="11.7109375" style="0" hidden="1" customWidth="1"/>
    <col min="16" max="18" width="11.7109375" style="0" customWidth="1"/>
    <col min="19" max="19" width="1.7109375" style="0" customWidth="1"/>
    <col min="20" max="20" width="7.140625" style="0" customWidth="1"/>
    <col min="21" max="23" width="9.140625" style="0" customWidth="1"/>
    <col min="24" max="24" width="12.28125" style="0" customWidth="1"/>
    <col min="25" max="25" width="10.140625" style="0" customWidth="1"/>
    <col min="26" max="26" width="10.28125" style="0" customWidth="1"/>
  </cols>
  <sheetData>
    <row r="1" spans="1:17" ht="18">
      <c r="A1" s="11" t="s">
        <v>181</v>
      </c>
      <c r="B1" s="5"/>
      <c r="C1" s="5"/>
      <c r="D1" s="5"/>
      <c r="E1" s="5"/>
      <c r="F1" s="5"/>
      <c r="G1" s="6"/>
      <c r="H1" s="5"/>
      <c r="I1" s="5"/>
      <c r="J1" s="5"/>
      <c r="K1" s="2"/>
      <c r="Q1" s="5"/>
    </row>
    <row r="2" spans="1:17" ht="12.75">
      <c r="A2" s="1" t="s">
        <v>154</v>
      </c>
      <c r="B2" s="5"/>
      <c r="C2" s="5"/>
      <c r="D2" s="5"/>
      <c r="E2" s="5"/>
      <c r="F2" s="5"/>
      <c r="G2" s="5"/>
      <c r="H2" s="5"/>
      <c r="I2" s="5"/>
      <c r="J2" s="5"/>
      <c r="K2" s="2"/>
      <c r="Q2" s="5"/>
    </row>
    <row r="3" spans="1:17" ht="12.75">
      <c r="A3" s="41"/>
      <c r="B3" s="5"/>
      <c r="C3" s="5"/>
      <c r="D3" s="5"/>
      <c r="E3" s="5"/>
      <c r="F3" s="5"/>
      <c r="G3" s="5"/>
      <c r="H3" s="5"/>
      <c r="I3" s="5"/>
      <c r="J3" s="5"/>
      <c r="K3" s="2"/>
      <c r="Q3" s="5"/>
    </row>
    <row r="4" spans="1:27" ht="12.75">
      <c r="A4" s="5"/>
      <c r="B4" s="7">
        <v>2018</v>
      </c>
      <c r="C4" s="56">
        <v>2019</v>
      </c>
      <c r="D4" s="7">
        <v>2018</v>
      </c>
      <c r="E4" s="7">
        <v>2019</v>
      </c>
      <c r="F4" s="7">
        <v>2019</v>
      </c>
      <c r="G4" s="69">
        <v>2019</v>
      </c>
      <c r="H4" s="56">
        <v>2018</v>
      </c>
      <c r="I4" s="7">
        <v>2018</v>
      </c>
      <c r="J4" s="7">
        <v>2018</v>
      </c>
      <c r="K4" s="7">
        <v>2018</v>
      </c>
      <c r="L4" s="7">
        <v>2018</v>
      </c>
      <c r="M4" s="7">
        <v>2018</v>
      </c>
      <c r="N4" s="7">
        <v>2018</v>
      </c>
      <c r="O4" s="7">
        <v>2018</v>
      </c>
      <c r="P4" s="7">
        <v>2019</v>
      </c>
      <c r="Q4" s="56">
        <v>2019</v>
      </c>
      <c r="R4" s="56">
        <v>2019</v>
      </c>
      <c r="S4" s="7"/>
      <c r="T4" s="5"/>
      <c r="U4" s="5"/>
      <c r="V4" s="5"/>
      <c r="W4" s="2"/>
      <c r="X4" s="50" t="s">
        <v>83</v>
      </c>
      <c r="Y4" s="51" t="s">
        <v>83</v>
      </c>
      <c r="Z4" s="53" t="s">
        <v>83</v>
      </c>
      <c r="AA4" s="82"/>
    </row>
    <row r="5" spans="1:27" ht="12.75">
      <c r="A5" s="5"/>
      <c r="B5" s="30" t="s">
        <v>32</v>
      </c>
      <c r="C5" s="61" t="s">
        <v>148</v>
      </c>
      <c r="D5" s="30" t="s">
        <v>86</v>
      </c>
      <c r="E5" s="30" t="s">
        <v>116</v>
      </c>
      <c r="F5" s="30" t="s">
        <v>29</v>
      </c>
      <c r="G5" s="70" t="s">
        <v>26</v>
      </c>
      <c r="H5" s="61" t="s">
        <v>59</v>
      </c>
      <c r="I5" s="30" t="s">
        <v>65</v>
      </c>
      <c r="J5" s="30" t="s">
        <v>31</v>
      </c>
      <c r="K5" s="30" t="s">
        <v>61</v>
      </c>
      <c r="L5" s="30" t="s">
        <v>61</v>
      </c>
      <c r="M5" s="30" t="s">
        <v>61</v>
      </c>
      <c r="N5" s="30" t="s">
        <v>118</v>
      </c>
      <c r="O5" s="30" t="s">
        <v>32</v>
      </c>
      <c r="P5" s="30" t="s">
        <v>32</v>
      </c>
      <c r="Q5" s="61" t="s">
        <v>32</v>
      </c>
      <c r="R5" s="78" t="s">
        <v>156</v>
      </c>
      <c r="S5" s="7"/>
      <c r="T5" s="5"/>
      <c r="U5" s="5"/>
      <c r="V5" s="5"/>
      <c r="W5" s="2"/>
      <c r="X5" s="50" t="s">
        <v>84</v>
      </c>
      <c r="Y5" s="51" t="s">
        <v>88</v>
      </c>
      <c r="Z5" s="53" t="s">
        <v>92</v>
      </c>
      <c r="AA5" s="82"/>
    </row>
    <row r="6" spans="1:27" ht="12.75">
      <c r="A6" s="10" t="s">
        <v>21</v>
      </c>
      <c r="B6" s="7" t="s">
        <v>27</v>
      </c>
      <c r="C6" s="56"/>
      <c r="D6" s="7" t="s">
        <v>87</v>
      </c>
      <c r="E6" s="7" t="s">
        <v>119</v>
      </c>
      <c r="F6" s="7" t="s">
        <v>30</v>
      </c>
      <c r="G6" s="71" t="s">
        <v>27</v>
      </c>
      <c r="H6" s="56" t="s">
        <v>60</v>
      </c>
      <c r="I6" s="7" t="s">
        <v>64</v>
      </c>
      <c r="J6" s="7"/>
      <c r="K6" s="7" t="s">
        <v>66</v>
      </c>
      <c r="L6" s="7" t="s">
        <v>77</v>
      </c>
      <c r="M6" s="7" t="s">
        <v>93</v>
      </c>
      <c r="N6" s="7" t="s">
        <v>70</v>
      </c>
      <c r="O6" s="7" t="s">
        <v>69</v>
      </c>
      <c r="P6" s="7" t="s">
        <v>34</v>
      </c>
      <c r="Q6" s="56" t="s">
        <v>27</v>
      </c>
      <c r="R6" s="56" t="s">
        <v>72</v>
      </c>
      <c r="S6" s="7"/>
      <c r="T6" s="1" t="s">
        <v>157</v>
      </c>
      <c r="U6" s="5"/>
      <c r="V6" s="5"/>
      <c r="W6" s="2"/>
      <c r="X6" s="50" t="s">
        <v>82</v>
      </c>
      <c r="Y6" s="51" t="s">
        <v>89</v>
      </c>
      <c r="Z6" s="53" t="s">
        <v>89</v>
      </c>
      <c r="AA6" s="82"/>
    </row>
    <row r="7" spans="1:23" ht="12.75">
      <c r="A7" s="5"/>
      <c r="B7" s="8"/>
      <c r="C7" s="55"/>
      <c r="D7" s="5"/>
      <c r="E7" s="5"/>
      <c r="F7" s="5"/>
      <c r="G7" s="72"/>
      <c r="H7" s="55"/>
      <c r="I7" s="5"/>
      <c r="J7" s="5"/>
      <c r="K7" s="5"/>
      <c r="L7" s="5"/>
      <c r="M7" s="5"/>
      <c r="N7" s="5"/>
      <c r="O7" s="5"/>
      <c r="P7" s="8"/>
      <c r="Q7" s="57"/>
      <c r="R7" s="57"/>
      <c r="S7" s="5"/>
      <c r="T7" s="5"/>
      <c r="U7" s="5"/>
      <c r="V7" s="5"/>
      <c r="W7" s="2"/>
    </row>
    <row r="8" spans="1:23" ht="12.75">
      <c r="A8" s="1" t="s">
        <v>22</v>
      </c>
      <c r="B8" s="8"/>
      <c r="C8" s="57"/>
      <c r="D8" s="8"/>
      <c r="E8" s="8"/>
      <c r="F8" s="5"/>
      <c r="G8" s="72"/>
      <c r="H8" s="55"/>
      <c r="I8" s="5"/>
      <c r="J8" s="5"/>
      <c r="K8" s="5"/>
      <c r="L8" s="5"/>
      <c r="M8" s="5"/>
      <c r="N8" s="5"/>
      <c r="O8" s="5"/>
      <c r="P8" s="8"/>
      <c r="Q8" s="57"/>
      <c r="R8" s="57"/>
      <c r="S8" s="5"/>
      <c r="T8" s="5"/>
      <c r="U8" s="5"/>
      <c r="V8" s="5"/>
      <c r="W8" s="2"/>
    </row>
    <row r="9" spans="1:27" ht="12.75">
      <c r="A9" s="5" t="s">
        <v>31</v>
      </c>
      <c r="B9" s="8">
        <v>81150</v>
      </c>
      <c r="C9" s="55"/>
      <c r="D9" s="5"/>
      <c r="E9" s="5"/>
      <c r="F9" s="5"/>
      <c r="G9" s="73"/>
      <c r="H9" s="57">
        <f>Y9*0.1</f>
        <v>8277</v>
      </c>
      <c r="I9" s="8"/>
      <c r="J9" s="8">
        <f>((Y9)*(1-0.05-0.025-0.1-0.025))</f>
        <v>66216</v>
      </c>
      <c r="K9" s="8">
        <f>(Y9)*0.025</f>
        <v>2069.25</v>
      </c>
      <c r="L9" s="8">
        <f>(Y9)*0.05</f>
        <v>4138.5</v>
      </c>
      <c r="M9" s="8">
        <f>(Y9)*0.025</f>
        <v>2069.25</v>
      </c>
      <c r="N9" s="8"/>
      <c r="O9" s="8"/>
      <c r="P9" s="8">
        <f aca="true" t="shared" si="0" ref="P9:P17">H9+I9+J9+K9+L9+M9+N9+O9</f>
        <v>82770</v>
      </c>
      <c r="Q9" s="57">
        <f aca="true" t="shared" si="1" ref="Q9:Q23">G9+P9</f>
        <v>82770</v>
      </c>
      <c r="R9" s="57">
        <f aca="true" t="shared" si="2" ref="R9:R23">Q9-B9</f>
        <v>1620</v>
      </c>
      <c r="S9" s="8"/>
      <c r="T9" s="5" t="s">
        <v>159</v>
      </c>
      <c r="U9" s="5"/>
      <c r="V9" s="5"/>
      <c r="W9" s="2"/>
      <c r="X9" s="31">
        <f>Y9/Z9-1</f>
        <v>0.019963031423290145</v>
      </c>
      <c r="Y9" s="16">
        <f>Z9+900+720</f>
        <v>82770</v>
      </c>
      <c r="Z9" s="16">
        <v>81150</v>
      </c>
      <c r="AA9" s="16"/>
    </row>
    <row r="10" spans="1:27" ht="12.75">
      <c r="A10" s="5" t="s">
        <v>158</v>
      </c>
      <c r="B10" s="8">
        <v>72800</v>
      </c>
      <c r="C10" s="55"/>
      <c r="D10" s="5"/>
      <c r="E10" s="5"/>
      <c r="F10" s="5"/>
      <c r="G10" s="72"/>
      <c r="H10" s="62">
        <f>((62400/24)*18+(63660/24*6))*0.05</f>
        <v>3135.75</v>
      </c>
      <c r="I10" s="23">
        <f>((62400/24)*18+(63660/24*6))*(1-0.1)</f>
        <v>56443.5</v>
      </c>
      <c r="J10" s="23"/>
      <c r="K10" s="23">
        <f>((62400/24)*18+(63660/24*6))*(0.025)</f>
        <v>1567.875</v>
      </c>
      <c r="L10" s="23">
        <f>((62400/24)*18+(63660/24*6))*(0.025)</f>
        <v>1567.875</v>
      </c>
      <c r="M10" s="23"/>
      <c r="N10" s="23"/>
      <c r="O10" s="5"/>
      <c r="P10" s="8">
        <f t="shared" si="0"/>
        <v>62715</v>
      </c>
      <c r="Q10" s="57">
        <f t="shared" si="1"/>
        <v>62715</v>
      </c>
      <c r="R10" s="57">
        <f t="shared" si="2"/>
        <v>-10085</v>
      </c>
      <c r="S10" s="8"/>
      <c r="T10" s="5" t="s">
        <v>160</v>
      </c>
      <c r="U10" s="5"/>
      <c r="V10" s="5"/>
      <c r="W10" s="2"/>
      <c r="X10" s="31">
        <f>Y10/Z10-1</f>
        <v>0.02019230769230762</v>
      </c>
      <c r="Y10" s="16">
        <f>Z10+900+360</f>
        <v>63660</v>
      </c>
      <c r="Z10" s="16">
        <v>62400</v>
      </c>
      <c r="AA10" s="16"/>
    </row>
    <row r="11" spans="1:27" ht="12.75">
      <c r="A11" s="5" t="s">
        <v>42</v>
      </c>
      <c r="B11" s="8">
        <v>22706.25</v>
      </c>
      <c r="C11" s="55"/>
      <c r="D11" s="5"/>
      <c r="E11" s="5"/>
      <c r="F11" s="5"/>
      <c r="G11" s="72"/>
      <c r="H11" s="57">
        <f>((46200/24*21)+(47136/24*3))*0.5</f>
        <v>23158.5</v>
      </c>
      <c r="I11" s="8"/>
      <c r="J11" s="8"/>
      <c r="K11" s="5"/>
      <c r="L11" s="5"/>
      <c r="M11" s="5"/>
      <c r="N11" s="5"/>
      <c r="O11" s="5"/>
      <c r="P11" s="8">
        <f t="shared" si="0"/>
        <v>23158.5</v>
      </c>
      <c r="Q11" s="57">
        <f t="shared" si="1"/>
        <v>23158.5</v>
      </c>
      <c r="R11" s="57">
        <f t="shared" si="2"/>
        <v>452.25</v>
      </c>
      <c r="S11" s="8"/>
      <c r="T11" s="5" t="s">
        <v>81</v>
      </c>
      <c r="U11" s="5"/>
      <c r="V11" s="5"/>
      <c r="W11" s="2"/>
      <c r="X11" s="31">
        <f>Y11/Z11-1</f>
        <v>0.0202597402597402</v>
      </c>
      <c r="Y11" s="16">
        <f>Z11+900+36</f>
        <v>47136</v>
      </c>
      <c r="Z11" s="16">
        <v>46200</v>
      </c>
      <c r="AA11" s="16"/>
    </row>
    <row r="12" spans="1:27" ht="12.75">
      <c r="A12" s="5" t="s">
        <v>0</v>
      </c>
      <c r="B12" s="8">
        <v>44800</v>
      </c>
      <c r="C12" s="57">
        <f>((46800/24*16)+(47700/24*8))*0.25</f>
        <v>11775</v>
      </c>
      <c r="D12" s="8"/>
      <c r="E12" s="8"/>
      <c r="F12" s="8">
        <f>(((46800/24*16)+(47700/24*8)))*0.75</f>
        <v>35325</v>
      </c>
      <c r="G12" s="73">
        <f>C12+F12</f>
        <v>47100</v>
      </c>
      <c r="H12" s="57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57">
        <f t="shared" si="1"/>
        <v>47100</v>
      </c>
      <c r="R12" s="57">
        <f t="shared" si="2"/>
        <v>2300</v>
      </c>
      <c r="S12" s="8"/>
      <c r="T12" s="5" t="s">
        <v>161</v>
      </c>
      <c r="U12" s="5"/>
      <c r="V12" s="5"/>
      <c r="W12" s="2"/>
      <c r="X12" s="31">
        <f>Y12/Z12-1</f>
        <v>0.02025641025641023</v>
      </c>
      <c r="Y12" s="16">
        <f>Z12+900+48</f>
        <v>47748</v>
      </c>
      <c r="Z12" s="16">
        <v>46800</v>
      </c>
      <c r="AA12" s="16"/>
    </row>
    <row r="13" spans="1:27" ht="12.75">
      <c r="A13" s="5" t="s">
        <v>67</v>
      </c>
      <c r="B13" s="8">
        <v>49655.5</v>
      </c>
      <c r="C13" s="79"/>
      <c r="D13" s="46"/>
      <c r="E13" s="46"/>
      <c r="F13" s="8"/>
      <c r="G13" s="73"/>
      <c r="H13" s="57"/>
      <c r="I13" s="8"/>
      <c r="J13" s="8"/>
      <c r="K13" s="8">
        <f>((50112/24*11)+(51108/24*13))</f>
        <v>50651.5</v>
      </c>
      <c r="L13" s="8"/>
      <c r="M13" s="8"/>
      <c r="N13" s="8"/>
      <c r="O13" s="8"/>
      <c r="P13" s="8">
        <f t="shared" si="0"/>
        <v>50651.5</v>
      </c>
      <c r="Q13" s="57">
        <f t="shared" si="1"/>
        <v>50651.5</v>
      </c>
      <c r="R13" s="57">
        <f t="shared" si="2"/>
        <v>996</v>
      </c>
      <c r="S13" s="8"/>
      <c r="T13" s="5" t="s">
        <v>117</v>
      </c>
      <c r="U13" s="5"/>
      <c r="V13" s="5"/>
      <c r="W13" s="2"/>
      <c r="X13" s="31">
        <f>Y13/Z13-1</f>
        <v>0.019875478927203094</v>
      </c>
      <c r="Y13" s="16">
        <f>Z13+900+96</f>
        <v>51108</v>
      </c>
      <c r="Z13" s="16">
        <v>50112</v>
      </c>
      <c r="AA13" s="16"/>
    </row>
    <row r="14" spans="1:27" ht="12.75" hidden="1">
      <c r="A14" s="13" t="s">
        <v>41</v>
      </c>
      <c r="B14" s="8">
        <v>0</v>
      </c>
      <c r="C14" s="57"/>
      <c r="D14" s="8"/>
      <c r="E14" s="8"/>
      <c r="F14" s="8"/>
      <c r="G14" s="73"/>
      <c r="H14" s="57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57">
        <f t="shared" si="1"/>
        <v>0</v>
      </c>
      <c r="R14" s="57">
        <f t="shared" si="2"/>
        <v>0</v>
      </c>
      <c r="S14" s="8"/>
      <c r="T14" s="5" t="s">
        <v>90</v>
      </c>
      <c r="U14" s="5"/>
      <c r="V14" s="5"/>
      <c r="W14" s="2"/>
      <c r="X14" s="31"/>
      <c r="Z14" s="16"/>
      <c r="AA14" s="16"/>
    </row>
    <row r="15" spans="1:27" ht="12.75">
      <c r="A15" s="5" t="s">
        <v>112</v>
      </c>
      <c r="B15" s="8">
        <v>36232.5</v>
      </c>
      <c r="C15" s="57">
        <f>((37020/24*21)+((37020+900)/24*3))*0.25</f>
        <v>9283.125</v>
      </c>
      <c r="D15" s="8"/>
      <c r="E15" s="8">
        <f>((37020/24*21)+((37020+900)/24*3))*0.75</f>
        <v>27849.375</v>
      </c>
      <c r="F15" s="8"/>
      <c r="G15" s="73">
        <f>C15+D15+E15+F15</f>
        <v>37132.5</v>
      </c>
      <c r="H15" s="57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57">
        <f t="shared" si="1"/>
        <v>37132.5</v>
      </c>
      <c r="R15" s="57">
        <f t="shared" si="2"/>
        <v>900</v>
      </c>
      <c r="S15" s="8"/>
      <c r="T15" s="5" t="s">
        <v>81</v>
      </c>
      <c r="U15" s="5"/>
      <c r="V15" s="5"/>
      <c r="W15" s="2"/>
      <c r="X15" s="31">
        <f aca="true" t="shared" si="3" ref="X15:X20">Y15/Z15-1</f>
        <v>0.024311183144246407</v>
      </c>
      <c r="Y15" s="16">
        <f>Z15+900</f>
        <v>37920</v>
      </c>
      <c r="Z15" s="16">
        <v>37020</v>
      </c>
      <c r="AA15" s="16"/>
    </row>
    <row r="16" spans="1:27" ht="12.75">
      <c r="A16" s="5" t="s">
        <v>115</v>
      </c>
      <c r="B16" s="8">
        <v>33365</v>
      </c>
      <c r="C16" s="80"/>
      <c r="D16" s="45"/>
      <c r="E16" s="45"/>
      <c r="F16" s="8"/>
      <c r="G16" s="73"/>
      <c r="H16" s="57">
        <f>(((34040/24)*18)+((34940/24)*6))*0.45</f>
        <v>15419.25</v>
      </c>
      <c r="I16" s="8"/>
      <c r="J16" s="8"/>
      <c r="K16" s="8"/>
      <c r="L16" s="8">
        <f>(((34040/24)*18)+((34940/24)*6))*0.5</f>
        <v>17132.5</v>
      </c>
      <c r="M16" s="8">
        <f>(((34040/24)*18)+((34940/24)*6))*0.05</f>
        <v>1713.25</v>
      </c>
      <c r="N16" s="8"/>
      <c r="O16" s="8"/>
      <c r="P16" s="8">
        <f t="shared" si="0"/>
        <v>34265</v>
      </c>
      <c r="Q16" s="57">
        <f t="shared" si="1"/>
        <v>34265</v>
      </c>
      <c r="R16" s="57">
        <f t="shared" si="2"/>
        <v>900</v>
      </c>
      <c r="S16" s="8"/>
      <c r="T16" s="5" t="s">
        <v>81</v>
      </c>
      <c r="U16" s="5"/>
      <c r="V16" s="5"/>
      <c r="W16" s="2"/>
      <c r="X16" s="31">
        <f t="shared" si="3"/>
        <v>0.026439482961222005</v>
      </c>
      <c r="Y16" s="16">
        <f>Z16+900</f>
        <v>34940</v>
      </c>
      <c r="Z16" s="16">
        <v>34040</v>
      </c>
      <c r="AA16" s="16"/>
    </row>
    <row r="17" spans="1:24" ht="12.75" hidden="1">
      <c r="A17" s="5" t="s">
        <v>76</v>
      </c>
      <c r="B17" s="8">
        <v>0</v>
      </c>
      <c r="C17" s="80"/>
      <c r="D17" s="45"/>
      <c r="E17" s="45"/>
      <c r="F17" s="8"/>
      <c r="G17" s="73"/>
      <c r="H17" s="57"/>
      <c r="I17" s="8"/>
      <c r="J17" s="8"/>
      <c r="K17" s="8"/>
      <c r="N17" s="8"/>
      <c r="O17" s="8"/>
      <c r="P17" s="8">
        <f t="shared" si="0"/>
        <v>0</v>
      </c>
      <c r="Q17" s="57">
        <f t="shared" si="1"/>
        <v>0</v>
      </c>
      <c r="R17" s="57">
        <f t="shared" si="2"/>
        <v>0</v>
      </c>
      <c r="S17" s="8"/>
      <c r="T17" s="5" t="s">
        <v>91</v>
      </c>
      <c r="U17" s="5"/>
      <c r="V17" s="5"/>
      <c r="W17" s="2"/>
      <c r="X17" s="31" t="e">
        <f t="shared" si="3"/>
        <v>#DIV/0!</v>
      </c>
    </row>
    <row r="18" spans="1:27" ht="12.75">
      <c r="A18" s="5" t="s">
        <v>149</v>
      </c>
      <c r="B18" s="8">
        <v>24100</v>
      </c>
      <c r="C18" s="57">
        <f>(42600/12)*4+(41700/12)*8</f>
        <v>42000</v>
      </c>
      <c r="D18" s="8"/>
      <c r="E18" s="8"/>
      <c r="F18" s="8"/>
      <c r="G18" s="73">
        <f>C18</f>
        <v>42000</v>
      </c>
      <c r="H18" s="57"/>
      <c r="I18" s="8"/>
      <c r="J18" s="8"/>
      <c r="K18" s="8"/>
      <c r="N18" s="8"/>
      <c r="O18" s="8"/>
      <c r="P18" s="8"/>
      <c r="Q18" s="57">
        <f t="shared" si="1"/>
        <v>42000</v>
      </c>
      <c r="R18" s="57">
        <f t="shared" si="2"/>
        <v>17900</v>
      </c>
      <c r="S18" s="8"/>
      <c r="T18" s="5" t="s">
        <v>81</v>
      </c>
      <c r="U18" s="5"/>
      <c r="V18" s="5"/>
      <c r="W18" s="2"/>
      <c r="X18" s="31">
        <f t="shared" si="3"/>
        <v>0.021582733812949728</v>
      </c>
      <c r="Y18" s="16">
        <f>Z18+900</f>
        <v>42600</v>
      </c>
      <c r="Z18" s="16">
        <v>41700</v>
      </c>
      <c r="AA18" s="16"/>
    </row>
    <row r="19" spans="1:26" ht="12.75">
      <c r="A19" s="5" t="s">
        <v>150</v>
      </c>
      <c r="B19" s="8">
        <v>25740</v>
      </c>
      <c r="C19" s="57">
        <f>(34320/12)*3+(35220/12)*9</f>
        <v>34995</v>
      </c>
      <c r="D19" s="45"/>
      <c r="E19" s="45"/>
      <c r="F19" s="8"/>
      <c r="G19" s="73">
        <f>C19</f>
        <v>34995</v>
      </c>
      <c r="H19" s="57"/>
      <c r="I19" s="8"/>
      <c r="J19" s="8"/>
      <c r="K19" s="8"/>
      <c r="N19" s="8"/>
      <c r="O19" s="8"/>
      <c r="P19" s="8"/>
      <c r="Q19" s="57">
        <f t="shared" si="1"/>
        <v>34995</v>
      </c>
      <c r="R19" s="57">
        <f t="shared" si="2"/>
        <v>9255</v>
      </c>
      <c r="S19" s="8"/>
      <c r="T19" s="5" t="s">
        <v>81</v>
      </c>
      <c r="U19" s="5"/>
      <c r="V19" s="5"/>
      <c r="W19" s="2"/>
      <c r="X19" s="31">
        <f t="shared" si="3"/>
        <v>0.02622377622377625</v>
      </c>
      <c r="Y19" s="16">
        <f>Z19+900</f>
        <v>35220</v>
      </c>
      <c r="Z19" s="16">
        <v>34320</v>
      </c>
    </row>
    <row r="20" spans="1:26" ht="12.75">
      <c r="A20" s="5" t="s">
        <v>151</v>
      </c>
      <c r="B20" s="8">
        <v>24700</v>
      </c>
      <c r="C20" s="57">
        <f>(32240/24)*5+(33280/24)*19</f>
        <v>33063.333333333336</v>
      </c>
      <c r="D20" s="45"/>
      <c r="E20" s="45"/>
      <c r="F20" s="8"/>
      <c r="G20" s="73">
        <f>C20</f>
        <v>33063.333333333336</v>
      </c>
      <c r="H20" s="57"/>
      <c r="I20" s="8"/>
      <c r="J20" s="8"/>
      <c r="K20" s="8"/>
      <c r="N20" s="8"/>
      <c r="O20" s="8"/>
      <c r="P20" s="8"/>
      <c r="Q20" s="57">
        <f t="shared" si="1"/>
        <v>33063.333333333336</v>
      </c>
      <c r="R20" s="57">
        <f t="shared" si="2"/>
        <v>8363.333333333336</v>
      </c>
      <c r="S20" s="8"/>
      <c r="T20" s="5" t="s">
        <v>178</v>
      </c>
      <c r="U20" s="5"/>
      <c r="V20" s="5"/>
      <c r="W20" s="2"/>
      <c r="X20" s="31">
        <f t="shared" si="3"/>
        <v>0.032258064516129004</v>
      </c>
      <c r="Y20" s="16">
        <f>16*2080</f>
        <v>33280</v>
      </c>
      <c r="Z20" s="83">
        <f>15.5*2080</f>
        <v>32240</v>
      </c>
    </row>
    <row r="21" spans="1:26" ht="12.75">
      <c r="A21" s="5" t="s">
        <v>113</v>
      </c>
      <c r="B21" s="8">
        <v>13744</v>
      </c>
      <c r="C21" s="57">
        <f>((15.5*16*30)+(16*16*22))*0.15</f>
        <v>1960.8</v>
      </c>
      <c r="D21" s="45"/>
      <c r="E21" s="45"/>
      <c r="F21" s="8">
        <f>((15.5*16*30)+(16*16*22))*0.85</f>
        <v>11111.199999999999</v>
      </c>
      <c r="G21" s="73">
        <f>C21+F21</f>
        <v>13071.999999999998</v>
      </c>
      <c r="H21" s="57"/>
      <c r="I21" s="8"/>
      <c r="J21" s="8"/>
      <c r="K21" s="8"/>
      <c r="L21" s="8"/>
      <c r="M21" s="8"/>
      <c r="N21" s="8"/>
      <c r="O21" s="8"/>
      <c r="P21" s="8">
        <f>H21+I21+J21+K21+L21+N21+O21</f>
        <v>0</v>
      </c>
      <c r="Q21" s="57">
        <f t="shared" si="1"/>
        <v>13071.999999999998</v>
      </c>
      <c r="R21" s="57">
        <f t="shared" si="2"/>
        <v>-672.0000000000018</v>
      </c>
      <c r="S21" s="8"/>
      <c r="T21" s="5" t="s">
        <v>178</v>
      </c>
      <c r="U21" s="5"/>
      <c r="V21" s="5"/>
      <c r="W21" s="2"/>
      <c r="X21" s="31">
        <f>(16/15.5)-1</f>
        <v>0.032258064516129004</v>
      </c>
      <c r="Y21" s="52"/>
      <c r="Z21" s="52"/>
    </row>
    <row r="22" spans="1:26" ht="12.75">
      <c r="A22" s="5" t="s">
        <v>114</v>
      </c>
      <c r="B22" s="8">
        <v>13744</v>
      </c>
      <c r="C22" s="57">
        <f>((15.5*16*43)+(16*16*9))*0.15</f>
        <v>1945.1999999999998</v>
      </c>
      <c r="D22" s="45"/>
      <c r="E22" s="45"/>
      <c r="F22" s="8">
        <f>((15.5*16*43)+(16*16*9))*0.85</f>
        <v>11022.8</v>
      </c>
      <c r="G22" s="73">
        <f>C22+F22</f>
        <v>12968</v>
      </c>
      <c r="H22" s="57"/>
      <c r="I22" s="8"/>
      <c r="J22" s="8"/>
      <c r="K22" s="8"/>
      <c r="L22" s="8"/>
      <c r="M22" s="8"/>
      <c r="N22" s="8"/>
      <c r="O22" s="8"/>
      <c r="P22" s="8">
        <f>H22+I22+J22+K22+L22+N22+O22</f>
        <v>0</v>
      </c>
      <c r="Q22" s="57">
        <f t="shared" si="1"/>
        <v>12968</v>
      </c>
      <c r="R22" s="57">
        <f t="shared" si="2"/>
        <v>-776</v>
      </c>
      <c r="S22" s="8"/>
      <c r="T22" s="5" t="s">
        <v>178</v>
      </c>
      <c r="U22" s="5"/>
      <c r="V22" s="5"/>
      <c r="W22" s="2"/>
      <c r="X22" s="31">
        <f>16/15.5-1</f>
        <v>0.032258064516129004</v>
      </c>
      <c r="Y22" s="52"/>
      <c r="Z22" s="52"/>
    </row>
    <row r="23" spans="1:24" ht="12.75">
      <c r="A23" s="5" t="s">
        <v>96</v>
      </c>
      <c r="B23" s="8">
        <v>10020</v>
      </c>
      <c r="C23" s="80"/>
      <c r="D23" s="45"/>
      <c r="E23" s="8"/>
      <c r="F23" s="8"/>
      <c r="G23" s="73"/>
      <c r="H23" s="57"/>
      <c r="I23" s="8"/>
      <c r="J23" s="8"/>
      <c r="K23" s="8"/>
      <c r="L23" s="54"/>
      <c r="M23" s="8">
        <f>(15*16.5*46)+(15*17*6)</f>
        <v>12915</v>
      </c>
      <c r="N23" s="8"/>
      <c r="O23" s="8"/>
      <c r="P23" s="8">
        <f>H23+I23+J23+K23+L23+M23+N23+O23</f>
        <v>12915</v>
      </c>
      <c r="Q23" s="57">
        <f t="shared" si="1"/>
        <v>12915</v>
      </c>
      <c r="R23" s="57">
        <f t="shared" si="2"/>
        <v>2895</v>
      </c>
      <c r="S23" s="8"/>
      <c r="T23" s="5" t="s">
        <v>178</v>
      </c>
      <c r="U23" s="5"/>
      <c r="V23" s="5"/>
      <c r="W23" s="2"/>
      <c r="X23" s="31">
        <f>(16.5/16)-1</f>
        <v>0.03125</v>
      </c>
    </row>
    <row r="24" spans="1:23" ht="12.75">
      <c r="A24" s="1" t="s">
        <v>1</v>
      </c>
      <c r="B24" s="42">
        <v>474423.9166666667</v>
      </c>
      <c r="C24" s="57">
        <f>SUM(C7:C23)</f>
        <v>135022.45833333334</v>
      </c>
      <c r="D24" s="8">
        <f>SUM(D7:D23)</f>
        <v>0</v>
      </c>
      <c r="E24" s="8">
        <f>SUM(E7:E23)</f>
        <v>27849.375</v>
      </c>
      <c r="F24" s="8">
        <f>SUM(F7:F23)</f>
        <v>57459</v>
      </c>
      <c r="G24" s="73">
        <f>SUM(G9:G23)</f>
        <v>220330.83333333334</v>
      </c>
      <c r="H24" s="57">
        <f aca="true" t="shared" si="4" ref="H24:O24">SUM(H7:H23)</f>
        <v>49990.5</v>
      </c>
      <c r="I24" s="8">
        <f t="shared" si="4"/>
        <v>56443.5</v>
      </c>
      <c r="J24" s="8">
        <f t="shared" si="4"/>
        <v>66216</v>
      </c>
      <c r="K24" s="8">
        <f t="shared" si="4"/>
        <v>54288.625</v>
      </c>
      <c r="L24" s="8">
        <f t="shared" si="4"/>
        <v>22838.875</v>
      </c>
      <c r="M24" s="8">
        <f t="shared" si="4"/>
        <v>16697.5</v>
      </c>
      <c r="N24" s="8">
        <f t="shared" si="4"/>
        <v>0</v>
      </c>
      <c r="O24" s="8">
        <f t="shared" si="4"/>
        <v>0</v>
      </c>
      <c r="P24" s="42">
        <f>SUM(P9:P23)</f>
        <v>266475</v>
      </c>
      <c r="Q24" s="81">
        <f>SUM(Q9:Q23)</f>
        <v>486805.8333333333</v>
      </c>
      <c r="R24" s="57">
        <f>SUM(R9:R23)</f>
        <v>34048.583333333336</v>
      </c>
      <c r="S24" s="8"/>
      <c r="T24" s="49">
        <f>R24/B24</f>
        <v>0.07176826913061403</v>
      </c>
      <c r="U24" s="5" t="s">
        <v>120</v>
      </c>
      <c r="V24" s="5"/>
      <c r="W24" s="2"/>
    </row>
    <row r="25" spans="1:23" ht="12.75">
      <c r="A25" s="1"/>
      <c r="B25" s="8"/>
      <c r="C25" s="57"/>
      <c r="D25" s="8"/>
      <c r="E25" s="8"/>
      <c r="F25" s="8"/>
      <c r="G25" s="73"/>
      <c r="H25" s="57"/>
      <c r="I25" s="8"/>
      <c r="J25" s="8"/>
      <c r="K25" s="8"/>
      <c r="L25" s="8"/>
      <c r="M25" s="8"/>
      <c r="N25" s="8"/>
      <c r="O25" s="8"/>
      <c r="P25" s="8"/>
      <c r="Q25" s="57"/>
      <c r="R25" s="57"/>
      <c r="S25" s="5"/>
      <c r="T25" s="5"/>
      <c r="U25" s="5"/>
      <c r="V25" s="5"/>
      <c r="W25" s="2"/>
    </row>
    <row r="26" spans="1:23" ht="12.75">
      <c r="A26" s="10" t="s">
        <v>23</v>
      </c>
      <c r="B26" s="8"/>
      <c r="C26" s="57"/>
      <c r="D26" s="8"/>
      <c r="E26" s="8"/>
      <c r="F26" s="8"/>
      <c r="G26" s="73"/>
      <c r="H26" s="57"/>
      <c r="I26" s="8"/>
      <c r="J26" s="8"/>
      <c r="K26" s="8"/>
      <c r="L26" s="8"/>
      <c r="M26" s="8"/>
      <c r="N26" s="8"/>
      <c r="O26" s="8"/>
      <c r="P26" s="8"/>
      <c r="Q26" s="57"/>
      <c r="R26" s="57"/>
      <c r="S26" s="5"/>
      <c r="T26" s="5"/>
      <c r="U26" s="5"/>
      <c r="V26" s="5"/>
      <c r="W26" s="43"/>
    </row>
    <row r="27" spans="1:23" ht="12.75">
      <c r="A27" s="5" t="s">
        <v>44</v>
      </c>
      <c r="B27" s="8">
        <v>67287.14000000001</v>
      </c>
      <c r="C27" s="57">
        <f>((709.46+7.16)*12)+(240*12)+(7.16*12)+((729.34+7.16)*12)</f>
        <v>20403.36</v>
      </c>
      <c r="D27" s="8"/>
      <c r="E27" s="8">
        <f>(709.46+7.16)*12</f>
        <v>8599.44</v>
      </c>
      <c r="F27" s="8">
        <f>(709.46+7.16)*12</f>
        <v>8599.44</v>
      </c>
      <c r="G27" s="73">
        <f aca="true" t="shared" si="5" ref="G27:G34">C27+D27+E27+F27</f>
        <v>37602.240000000005</v>
      </c>
      <c r="H27" s="57"/>
      <c r="I27" s="8">
        <f>(240+7.16)*12</f>
        <v>2965.92</v>
      </c>
      <c r="J27" s="8">
        <f>(709.46+7.16)*12</f>
        <v>8599.44</v>
      </c>
      <c r="K27" s="8">
        <f>(729.34+7.16)*12</f>
        <v>8838</v>
      </c>
      <c r="L27" s="8">
        <f>(729.34+7.16)*12</f>
        <v>8838</v>
      </c>
      <c r="M27" s="8"/>
      <c r="N27" s="8">
        <v>0</v>
      </c>
      <c r="O27" s="8"/>
      <c r="P27" s="8">
        <f aca="true" t="shared" si="6" ref="P27:P34">H27+I27+J27+K27+L27+M27+N27+O27</f>
        <v>29241.36</v>
      </c>
      <c r="Q27" s="57">
        <f aca="true" t="shared" si="7" ref="Q27:Q34">G27+P27</f>
        <v>66843.6</v>
      </c>
      <c r="R27" s="57">
        <f aca="true" t="shared" si="8" ref="R27:R34">Q27-B27</f>
        <v>-443.54000000000815</v>
      </c>
      <c r="S27" s="5"/>
      <c r="T27" s="5" t="s">
        <v>153</v>
      </c>
      <c r="U27" s="5"/>
      <c r="V27" s="5"/>
      <c r="W27" s="2"/>
    </row>
    <row r="28" spans="1:23" ht="12.75">
      <c r="A28" s="5" t="s">
        <v>43</v>
      </c>
      <c r="B28" s="8">
        <v>5097.24</v>
      </c>
      <c r="C28" s="57">
        <f>43.86*12*3</f>
        <v>1578.9599999999998</v>
      </c>
      <c r="D28" s="8"/>
      <c r="E28" s="8">
        <f>43.86*12</f>
        <v>526.3199999999999</v>
      </c>
      <c r="F28" s="8">
        <f>43.86*12</f>
        <v>526.3199999999999</v>
      </c>
      <c r="G28" s="73">
        <f t="shared" si="5"/>
        <v>2631.5999999999995</v>
      </c>
      <c r="H28" s="57"/>
      <c r="I28" s="8">
        <f>(43.86*12)</f>
        <v>526.3199999999999</v>
      </c>
      <c r="J28" s="8">
        <f>(43.86*12)</f>
        <v>526.3199999999999</v>
      </c>
      <c r="K28" s="8">
        <f>43.86*12</f>
        <v>526.3199999999999</v>
      </c>
      <c r="L28" s="8">
        <f>43.86*12</f>
        <v>526.3199999999999</v>
      </c>
      <c r="M28" s="8"/>
      <c r="N28" s="8">
        <v>0</v>
      </c>
      <c r="O28" s="8"/>
      <c r="P28" s="8">
        <f t="shared" si="6"/>
        <v>2105.2799999999997</v>
      </c>
      <c r="Q28" s="57">
        <f t="shared" si="7"/>
        <v>4736.879999999999</v>
      </c>
      <c r="R28" s="57">
        <f t="shared" si="8"/>
        <v>-360.3600000000006</v>
      </c>
      <c r="S28" s="5"/>
      <c r="T28" s="5" t="s">
        <v>121</v>
      </c>
      <c r="U28" s="5"/>
      <c r="V28" s="39"/>
      <c r="W28" s="40"/>
    </row>
    <row r="29" spans="1:24" ht="12.75">
      <c r="A29" s="5" t="s">
        <v>45</v>
      </c>
      <c r="B29" s="8">
        <v>1958.3999999999999</v>
      </c>
      <c r="C29" s="57">
        <f>19.2*12*3</f>
        <v>691.1999999999999</v>
      </c>
      <c r="D29" s="8"/>
      <c r="E29" s="8">
        <f>19.2*12</f>
        <v>230.39999999999998</v>
      </c>
      <c r="F29" s="8">
        <f>(19.2*12)</f>
        <v>230.39999999999998</v>
      </c>
      <c r="G29" s="73">
        <f t="shared" si="5"/>
        <v>1152</v>
      </c>
      <c r="H29" s="57"/>
      <c r="I29" s="8">
        <f>(19.2*12)</f>
        <v>230.39999999999998</v>
      </c>
      <c r="J29" s="8">
        <f>(19.2*12)</f>
        <v>230.39999999999998</v>
      </c>
      <c r="K29" s="8">
        <f>(19.2*12)</f>
        <v>230.39999999999998</v>
      </c>
      <c r="L29" s="8">
        <f>(19.2*12)</f>
        <v>230.39999999999998</v>
      </c>
      <c r="M29" s="8"/>
      <c r="N29" s="8">
        <v>0</v>
      </c>
      <c r="O29" s="8"/>
      <c r="P29" s="8">
        <f t="shared" si="6"/>
        <v>921.5999999999999</v>
      </c>
      <c r="Q29" s="57">
        <f t="shared" si="7"/>
        <v>2073.6</v>
      </c>
      <c r="R29" s="57">
        <f t="shared" si="8"/>
        <v>115.20000000000005</v>
      </c>
      <c r="S29" s="5"/>
      <c r="T29" s="5" t="s">
        <v>121</v>
      </c>
      <c r="U29" s="5"/>
      <c r="V29" s="5"/>
      <c r="W29" s="2"/>
      <c r="X29" s="16"/>
    </row>
    <row r="30" spans="1:23" ht="12.75">
      <c r="A30" s="5" t="s">
        <v>46</v>
      </c>
      <c r="B30" s="8">
        <v>3694.1542679999993</v>
      </c>
      <c r="C30" s="57">
        <f>(C24+2880)*0.009576</f>
        <v>1320.5539410000001</v>
      </c>
      <c r="D30" s="8"/>
      <c r="E30" s="8">
        <f>E24*0.009576</f>
        <v>266.685615</v>
      </c>
      <c r="F30" s="8">
        <f>F12*0.009576</f>
        <v>338.2722</v>
      </c>
      <c r="G30" s="73">
        <f t="shared" si="5"/>
        <v>1925.5117559999999</v>
      </c>
      <c r="H30" s="57"/>
      <c r="I30" s="8">
        <f>(I24+2880)*0.009576</f>
        <v>568.081836</v>
      </c>
      <c r="J30" s="8">
        <f>J24*0.009576</f>
        <v>634.0844159999999</v>
      </c>
      <c r="K30" s="8">
        <f>K24*0.009576</f>
        <v>519.8678729999999</v>
      </c>
      <c r="L30" s="8">
        <f>L24*0.009576</f>
        <v>218.70506699999999</v>
      </c>
      <c r="M30" s="8">
        <f>(M9+M16)*0.009576</f>
        <v>36.221219999999995</v>
      </c>
      <c r="N30" s="8">
        <v>0</v>
      </c>
      <c r="O30" s="8"/>
      <c r="P30" s="8">
        <f t="shared" si="6"/>
        <v>1976.960412</v>
      </c>
      <c r="Q30" s="57">
        <f t="shared" si="7"/>
        <v>3902.472168</v>
      </c>
      <c r="R30" s="57">
        <f t="shared" si="8"/>
        <v>208.31790000000046</v>
      </c>
      <c r="S30" s="5"/>
      <c r="T30" s="5" t="s">
        <v>121</v>
      </c>
      <c r="U30" s="5"/>
      <c r="V30" s="5"/>
      <c r="W30" s="2"/>
    </row>
    <row r="31" spans="1:23" ht="12.75">
      <c r="A31" s="5" t="s">
        <v>2</v>
      </c>
      <c r="B31" s="8">
        <v>901.4054416666668</v>
      </c>
      <c r="C31" s="57">
        <f>(C24+2880)*0.19/100</f>
        <v>262.01467083333335</v>
      </c>
      <c r="D31" s="8"/>
      <c r="E31" s="8">
        <f>E24*0.19/100</f>
        <v>52.913812500000006</v>
      </c>
      <c r="F31" s="8">
        <f>F24*0.19/100</f>
        <v>109.17210000000001</v>
      </c>
      <c r="G31" s="73">
        <f t="shared" si="5"/>
        <v>424.10058333333336</v>
      </c>
      <c r="H31" s="57">
        <f aca="true" t="shared" si="9" ref="H31:M31">H24*0.19/100</f>
        <v>94.98195</v>
      </c>
      <c r="I31" s="8">
        <f>(I24+2880)*0.19/100</f>
        <v>112.71465</v>
      </c>
      <c r="J31" s="8">
        <f t="shared" si="9"/>
        <v>125.81040000000002</v>
      </c>
      <c r="K31" s="8">
        <f t="shared" si="9"/>
        <v>103.14838750000001</v>
      </c>
      <c r="L31" s="8">
        <f t="shared" si="9"/>
        <v>43.393862500000004</v>
      </c>
      <c r="M31" s="8">
        <f t="shared" si="9"/>
        <v>31.725250000000003</v>
      </c>
      <c r="N31" s="8">
        <v>0</v>
      </c>
      <c r="O31" s="8"/>
      <c r="P31" s="8">
        <f t="shared" si="6"/>
        <v>511.77450000000005</v>
      </c>
      <c r="Q31" s="57">
        <f t="shared" si="7"/>
        <v>935.8750833333334</v>
      </c>
      <c r="R31" s="57">
        <f t="shared" si="8"/>
        <v>34.469641666666575</v>
      </c>
      <c r="S31" s="5"/>
      <c r="T31" s="5" t="s">
        <v>179</v>
      </c>
      <c r="U31" s="5"/>
      <c r="V31" s="5"/>
      <c r="W31" s="2"/>
    </row>
    <row r="32" spans="1:23" ht="12.75">
      <c r="A32" s="13" t="s">
        <v>28</v>
      </c>
      <c r="B32" s="8">
        <v>83959.65856666665</v>
      </c>
      <c r="C32" s="57">
        <f>(C24+2880)*22.77%</f>
        <v>31400.3897625</v>
      </c>
      <c r="D32" s="8"/>
      <c r="E32" s="8">
        <f>E24*22.77%</f>
        <v>6341.3026875</v>
      </c>
      <c r="F32" s="8">
        <f>(F12)*22.77%</f>
        <v>8043.5025</v>
      </c>
      <c r="G32" s="73">
        <f t="shared" si="5"/>
        <v>45785.194950000005</v>
      </c>
      <c r="H32" s="57">
        <f>(H9+H10+H16)*22.77%</f>
        <v>6109.6464</v>
      </c>
      <c r="I32" s="8">
        <f>(I24+2880)*22.77%</f>
        <v>13507.960949999999</v>
      </c>
      <c r="J32" s="8">
        <f>J24*22.77%</f>
        <v>15077.383199999998</v>
      </c>
      <c r="K32" s="8">
        <f>K24*22.77%</f>
        <v>12361.5199125</v>
      </c>
      <c r="L32" s="8">
        <f>L24*22.77%</f>
        <v>5200.4118375</v>
      </c>
      <c r="M32" s="8">
        <f>(M9+M16)*22.77%</f>
        <v>861.2752499999999</v>
      </c>
      <c r="N32" s="8">
        <v>0</v>
      </c>
      <c r="O32" s="8"/>
      <c r="P32" s="8">
        <f t="shared" si="6"/>
        <v>53118.19754999999</v>
      </c>
      <c r="Q32" s="57">
        <f t="shared" si="7"/>
        <v>98903.39249999999</v>
      </c>
      <c r="R32" s="57">
        <f t="shared" si="8"/>
        <v>14943.733933333337</v>
      </c>
      <c r="S32" s="5"/>
      <c r="T32" s="5" t="s">
        <v>177</v>
      </c>
      <c r="U32" s="5"/>
      <c r="V32" s="8"/>
      <c r="W32" s="5"/>
    </row>
    <row r="33" spans="1:23" ht="12.75">
      <c r="A33" s="5" t="s">
        <v>155</v>
      </c>
      <c r="B33" s="8">
        <v>36293.429625</v>
      </c>
      <c r="C33" s="57">
        <f>(C24+2880)*7.65%</f>
        <v>10549.5380625</v>
      </c>
      <c r="D33" s="8"/>
      <c r="E33" s="8">
        <f>(E24*7.65%)</f>
        <v>2130.4771875</v>
      </c>
      <c r="F33" s="8">
        <f>(F24*7.65%)</f>
        <v>4395.6134999999995</v>
      </c>
      <c r="G33" s="73">
        <f t="shared" si="5"/>
        <v>17075.62875</v>
      </c>
      <c r="H33" s="57">
        <f aca="true" t="shared" si="10" ref="H33:M33">H24*7.65%</f>
        <v>3824.2732499999997</v>
      </c>
      <c r="I33" s="8">
        <f>(I24+2880)*7.65%</f>
        <v>4538.2477499999995</v>
      </c>
      <c r="J33" s="8">
        <f t="shared" si="10"/>
        <v>5065.524</v>
      </c>
      <c r="K33" s="8">
        <f t="shared" si="10"/>
        <v>4153.0798125</v>
      </c>
      <c r="L33" s="8">
        <f t="shared" si="10"/>
        <v>1747.1739375</v>
      </c>
      <c r="M33" s="8">
        <f t="shared" si="10"/>
        <v>1277.3587499999999</v>
      </c>
      <c r="N33" s="8">
        <v>0</v>
      </c>
      <c r="O33" s="8"/>
      <c r="P33" s="8">
        <f t="shared" si="6"/>
        <v>20605.657499999998</v>
      </c>
      <c r="Q33" s="57">
        <f t="shared" si="7"/>
        <v>37681.28625</v>
      </c>
      <c r="R33" s="57">
        <f t="shared" si="8"/>
        <v>1387.8566250000003</v>
      </c>
      <c r="S33" s="5"/>
      <c r="T33" s="5" t="s">
        <v>142</v>
      </c>
      <c r="U33" s="5"/>
      <c r="V33" s="5"/>
      <c r="W33" s="2"/>
    </row>
    <row r="34" spans="1:23" ht="12.75">
      <c r="A34" s="5" t="s">
        <v>3</v>
      </c>
      <c r="B34" s="8">
        <v>855.72</v>
      </c>
      <c r="C34" s="57">
        <f>10200*3*0.007</f>
        <v>214.20000000000002</v>
      </c>
      <c r="D34" s="8"/>
      <c r="E34" s="8">
        <f>10200*0.7%</f>
        <v>71.39999999999999</v>
      </c>
      <c r="F34" s="8">
        <f>10200*0.7%*3</f>
        <v>214.2</v>
      </c>
      <c r="G34" s="74">
        <f t="shared" si="5"/>
        <v>499.8</v>
      </c>
      <c r="H34" s="57">
        <f aca="true" t="shared" si="11" ref="H34:M34">10200*0.7%</f>
        <v>71.39999999999999</v>
      </c>
      <c r="I34" s="8">
        <f t="shared" si="11"/>
        <v>71.39999999999999</v>
      </c>
      <c r="J34" s="8">
        <f t="shared" si="11"/>
        <v>71.39999999999999</v>
      </c>
      <c r="K34" s="8">
        <f t="shared" si="11"/>
        <v>71.39999999999999</v>
      </c>
      <c r="L34" s="8">
        <f t="shared" si="11"/>
        <v>71.39999999999999</v>
      </c>
      <c r="M34" s="8">
        <f t="shared" si="11"/>
        <v>71.39999999999999</v>
      </c>
      <c r="N34" s="8">
        <v>0</v>
      </c>
      <c r="O34" s="42"/>
      <c r="P34" s="8">
        <f t="shared" si="6"/>
        <v>428.3999999999999</v>
      </c>
      <c r="Q34" s="57">
        <f t="shared" si="7"/>
        <v>928.1999999999999</v>
      </c>
      <c r="R34" s="57">
        <f t="shared" si="8"/>
        <v>72.4799999999999</v>
      </c>
      <c r="S34" s="5"/>
      <c r="T34" s="5" t="s">
        <v>180</v>
      </c>
      <c r="U34" s="5"/>
      <c r="V34" s="5"/>
      <c r="W34" s="2"/>
    </row>
    <row r="35" spans="1:23" ht="12.75">
      <c r="A35" s="10" t="s">
        <v>25</v>
      </c>
      <c r="B35" s="8">
        <v>200047.14790133332</v>
      </c>
      <c r="C35" s="57">
        <f>SUM(C27:C34)</f>
        <v>66420.21643683333</v>
      </c>
      <c r="D35" s="8"/>
      <c r="E35" s="8">
        <f>SUM(E27:E34)</f>
        <v>18218.939302500003</v>
      </c>
      <c r="F35" s="8">
        <f>SUM(F27:F34)</f>
        <v>22456.920299999998</v>
      </c>
      <c r="G35" s="73">
        <f>SUM(G27:G34)</f>
        <v>107096.07603933335</v>
      </c>
      <c r="H35" s="57">
        <f aca="true" t="shared" si="12" ref="H35:O35">SUM(H27:H34)</f>
        <v>10100.301599999999</v>
      </c>
      <c r="I35" s="8">
        <f t="shared" si="12"/>
        <v>22521.045186</v>
      </c>
      <c r="J35" s="8">
        <f t="shared" si="12"/>
        <v>30330.362016000003</v>
      </c>
      <c r="K35" s="8">
        <f t="shared" si="12"/>
        <v>26803.7359855</v>
      </c>
      <c r="L35" s="8">
        <f t="shared" si="12"/>
        <v>16875.804704500002</v>
      </c>
      <c r="M35" s="8">
        <f t="shared" si="12"/>
        <v>2277.98047</v>
      </c>
      <c r="N35" s="8">
        <v>0</v>
      </c>
      <c r="O35" s="8">
        <f t="shared" si="12"/>
        <v>0</v>
      </c>
      <c r="P35" s="8">
        <f>SUM(P27:P34)</f>
        <v>108909.22996199998</v>
      </c>
      <c r="Q35" s="57">
        <f>SUM(Q27:Q34)</f>
        <v>216005.30600133335</v>
      </c>
      <c r="R35" s="57">
        <f>SUM(R27:R34)</f>
        <v>15958.158099999995</v>
      </c>
      <c r="S35" s="5"/>
      <c r="T35" s="49">
        <f>R35/B35</f>
        <v>0.07977198509158867</v>
      </c>
      <c r="U35" s="5" t="s">
        <v>120</v>
      </c>
      <c r="V35" s="8"/>
      <c r="W35" s="2"/>
    </row>
    <row r="36" spans="1:23" ht="12.75">
      <c r="A36" s="1" t="s">
        <v>24</v>
      </c>
      <c r="B36" s="9">
        <v>674471.064568</v>
      </c>
      <c r="C36" s="58">
        <f aca="true" t="shared" si="13" ref="C36:Q36">C24+C35</f>
        <v>201442.6747701667</v>
      </c>
      <c r="D36" s="9">
        <f t="shared" si="13"/>
        <v>0</v>
      </c>
      <c r="E36" s="9">
        <f t="shared" si="13"/>
        <v>46068.3143025</v>
      </c>
      <c r="F36" s="9">
        <f t="shared" si="13"/>
        <v>79915.9203</v>
      </c>
      <c r="G36" s="75">
        <f t="shared" si="13"/>
        <v>327426.9093726667</v>
      </c>
      <c r="H36" s="64">
        <f t="shared" si="13"/>
        <v>60090.8016</v>
      </c>
      <c r="I36" s="29">
        <f t="shared" si="13"/>
        <v>78964.545186</v>
      </c>
      <c r="J36" s="29">
        <f t="shared" si="13"/>
        <v>96546.362016</v>
      </c>
      <c r="K36" s="29">
        <f t="shared" si="13"/>
        <v>81092.3609855</v>
      </c>
      <c r="L36" s="29">
        <f t="shared" si="13"/>
        <v>39714.6797045</v>
      </c>
      <c r="M36" s="29">
        <f t="shared" si="13"/>
        <v>18975.48047</v>
      </c>
      <c r="N36" s="29">
        <f t="shared" si="13"/>
        <v>0</v>
      </c>
      <c r="O36" s="29">
        <f t="shared" si="13"/>
        <v>0</v>
      </c>
      <c r="P36" s="29">
        <f t="shared" si="13"/>
        <v>375384.229962</v>
      </c>
      <c r="Q36" s="58">
        <f t="shared" si="13"/>
        <v>702811.1393346667</v>
      </c>
      <c r="R36" s="58">
        <f>Q36-B36</f>
        <v>28340.07476666663</v>
      </c>
      <c r="S36" s="5"/>
      <c r="T36" s="49">
        <f>R36/B36</f>
        <v>0.04201822176733185</v>
      </c>
      <c r="U36" s="5" t="s">
        <v>120</v>
      </c>
      <c r="V36" s="5"/>
      <c r="W36" s="2"/>
    </row>
    <row r="37" spans="1:23" ht="12.75">
      <c r="A37" s="5"/>
      <c r="B37" s="8"/>
      <c r="C37" s="57"/>
      <c r="D37" s="8"/>
      <c r="E37" s="8"/>
      <c r="F37" s="8"/>
      <c r="G37" s="73"/>
      <c r="H37" s="57"/>
      <c r="I37" s="8"/>
      <c r="J37" s="8"/>
      <c r="K37" s="8"/>
      <c r="L37" s="8"/>
      <c r="M37" s="8"/>
      <c r="N37" s="8"/>
      <c r="O37" s="8"/>
      <c r="P37" s="8"/>
      <c r="Q37" s="57"/>
      <c r="R37" s="57"/>
      <c r="S37" s="5"/>
      <c r="T37" s="5"/>
      <c r="U37" s="5"/>
      <c r="V37" s="5"/>
      <c r="W37" s="2"/>
    </row>
    <row r="38" spans="1:23" ht="12.75">
      <c r="A38" s="1" t="s">
        <v>4</v>
      </c>
      <c r="B38" s="32" t="s">
        <v>27</v>
      </c>
      <c r="C38" s="59" t="s">
        <v>148</v>
      </c>
      <c r="D38" s="32" t="s">
        <v>86</v>
      </c>
      <c r="E38" s="32" t="s">
        <v>116</v>
      </c>
      <c r="F38" s="32" t="s">
        <v>62</v>
      </c>
      <c r="G38" s="76" t="s">
        <v>26</v>
      </c>
      <c r="H38" s="59" t="s">
        <v>59</v>
      </c>
      <c r="I38" s="32" t="s">
        <v>65</v>
      </c>
      <c r="J38" s="32" t="s">
        <v>31</v>
      </c>
      <c r="K38" s="32" t="s">
        <v>61</v>
      </c>
      <c r="L38" s="32" t="s">
        <v>77</v>
      </c>
      <c r="M38" s="32" t="s">
        <v>93</v>
      </c>
      <c r="N38" s="32" t="s">
        <v>118</v>
      </c>
      <c r="O38" s="32" t="s">
        <v>69</v>
      </c>
      <c r="P38" s="32" t="s">
        <v>32</v>
      </c>
      <c r="Q38" s="59" t="s">
        <v>27</v>
      </c>
      <c r="R38" s="59" t="s">
        <v>72</v>
      </c>
      <c r="S38" s="5"/>
      <c r="T38" s="5"/>
      <c r="U38" s="5"/>
      <c r="V38" s="5"/>
      <c r="W38" s="2"/>
    </row>
    <row r="39" spans="1:23" ht="12.75">
      <c r="A39" s="5" t="s">
        <v>5</v>
      </c>
      <c r="B39" s="8">
        <v>5550</v>
      </c>
      <c r="C39" s="57"/>
      <c r="D39" s="8"/>
      <c r="E39" s="8"/>
      <c r="F39" s="8">
        <v>1800</v>
      </c>
      <c r="G39" s="73">
        <f aca="true" t="shared" si="14" ref="G39:G51">C39+D39+E39+F39</f>
        <v>1800</v>
      </c>
      <c r="H39" s="57"/>
      <c r="I39" s="8">
        <v>900</v>
      </c>
      <c r="J39" s="8">
        <v>900</v>
      </c>
      <c r="K39" s="8"/>
      <c r="L39" s="8"/>
      <c r="M39" s="8"/>
      <c r="N39" s="8"/>
      <c r="O39" s="8">
        <v>900</v>
      </c>
      <c r="P39" s="8">
        <f aca="true" t="shared" si="15" ref="P39:P58">H39+I39+J39+K39+L39+M39+N39+O39</f>
        <v>2700</v>
      </c>
      <c r="Q39" s="57">
        <f aca="true" t="shared" si="16" ref="Q39:Q58">G39+P39</f>
        <v>4500</v>
      </c>
      <c r="R39" s="57">
        <f aca="true" t="shared" si="17" ref="R39:R58">Q39-B39</f>
        <v>-1050</v>
      </c>
      <c r="S39" s="5"/>
      <c r="T39" s="5" t="s">
        <v>109</v>
      </c>
      <c r="U39" s="5"/>
      <c r="V39" s="5"/>
      <c r="W39" s="2"/>
    </row>
    <row r="40" spans="1:23" ht="12.75">
      <c r="A40" s="5" t="s">
        <v>110</v>
      </c>
      <c r="B40" s="8">
        <v>15840</v>
      </c>
      <c r="C40" s="57">
        <v>1200</v>
      </c>
      <c r="D40" s="8"/>
      <c r="E40" s="8"/>
      <c r="F40" s="8">
        <v>600</v>
      </c>
      <c r="G40" s="73">
        <f t="shared" si="14"/>
        <v>1800</v>
      </c>
      <c r="H40" s="57"/>
      <c r="I40" s="8"/>
      <c r="J40" s="8"/>
      <c r="K40" s="8">
        <v>240</v>
      </c>
      <c r="L40" s="8">
        <v>10000</v>
      </c>
      <c r="M40" s="8"/>
      <c r="N40" s="8"/>
      <c r="O40" s="8">
        <v>3000</v>
      </c>
      <c r="P40" s="8">
        <f t="shared" si="15"/>
        <v>13240</v>
      </c>
      <c r="Q40" s="57">
        <f t="shared" si="16"/>
        <v>15040</v>
      </c>
      <c r="R40" s="57">
        <f t="shared" si="17"/>
        <v>-800</v>
      </c>
      <c r="S40" s="5"/>
      <c r="T40" s="5" t="s">
        <v>162</v>
      </c>
      <c r="U40" s="5"/>
      <c r="V40" s="13"/>
      <c r="W40" s="2"/>
    </row>
    <row r="41" spans="1:23" ht="12.75">
      <c r="A41" s="5" t="s">
        <v>94</v>
      </c>
      <c r="B41" s="8">
        <v>9200</v>
      </c>
      <c r="C41" s="57"/>
      <c r="D41" s="8"/>
      <c r="E41" s="8"/>
      <c r="F41" s="8">
        <f>2600+600</f>
        <v>3200</v>
      </c>
      <c r="G41" s="73">
        <f t="shared" si="14"/>
        <v>3200</v>
      </c>
      <c r="H41" s="57">
        <v>900</v>
      </c>
      <c r="I41" s="8"/>
      <c r="J41" s="8"/>
      <c r="K41" s="8"/>
      <c r="L41" s="8">
        <v>460</v>
      </c>
      <c r="M41" s="8"/>
      <c r="N41" s="8"/>
      <c r="O41" s="8">
        <f>6000-H41-L41</f>
        <v>4640</v>
      </c>
      <c r="P41" s="8">
        <f t="shared" si="15"/>
        <v>6000</v>
      </c>
      <c r="Q41" s="57">
        <f t="shared" si="16"/>
        <v>9200</v>
      </c>
      <c r="R41" s="57">
        <f t="shared" si="17"/>
        <v>0</v>
      </c>
      <c r="S41" s="5"/>
      <c r="T41" s="5" t="s">
        <v>111</v>
      </c>
      <c r="U41" s="5"/>
      <c r="V41" s="5"/>
      <c r="W41" s="2"/>
    </row>
    <row r="42" spans="1:23" ht="12.75">
      <c r="A42" s="5" t="s">
        <v>39</v>
      </c>
      <c r="B42" s="8">
        <v>7700</v>
      </c>
      <c r="C42" s="57">
        <f>975+275</f>
        <v>1250</v>
      </c>
      <c r="D42" s="8"/>
      <c r="E42" s="8"/>
      <c r="F42" s="8">
        <f>1500-975+300+120</f>
        <v>945</v>
      </c>
      <c r="G42" s="73">
        <f t="shared" si="14"/>
        <v>2195</v>
      </c>
      <c r="H42" s="57">
        <v>260</v>
      </c>
      <c r="I42" s="8">
        <v>360</v>
      </c>
      <c r="J42" s="8"/>
      <c r="K42" s="8">
        <v>360</v>
      </c>
      <c r="L42" s="8"/>
      <c r="M42" s="8"/>
      <c r="N42" s="8"/>
      <c r="O42" s="8">
        <v>1080</v>
      </c>
      <c r="P42" s="8">
        <f t="shared" si="15"/>
        <v>2060</v>
      </c>
      <c r="Q42" s="57">
        <f t="shared" si="16"/>
        <v>4255</v>
      </c>
      <c r="R42" s="57">
        <f t="shared" si="17"/>
        <v>-3445</v>
      </c>
      <c r="S42" s="5"/>
      <c r="T42" s="5" t="s">
        <v>122</v>
      </c>
      <c r="U42" s="5"/>
      <c r="V42" s="5"/>
      <c r="W42" s="2"/>
    </row>
    <row r="43" spans="1:23" ht="12.75">
      <c r="A43" s="5" t="s">
        <v>6</v>
      </c>
      <c r="B43" s="8">
        <v>4132.56</v>
      </c>
      <c r="C43" s="57">
        <f>1200+480</f>
        <v>1680</v>
      </c>
      <c r="D43" s="8"/>
      <c r="E43" s="8"/>
      <c r="F43" s="8">
        <f>(220*4)+(234.78*12)</f>
        <v>3697.36</v>
      </c>
      <c r="G43" s="73">
        <f t="shared" si="14"/>
        <v>5377.360000000001</v>
      </c>
      <c r="H43" s="57"/>
      <c r="I43" s="8"/>
      <c r="J43" s="8"/>
      <c r="K43" s="8"/>
      <c r="L43" s="8"/>
      <c r="M43" s="8"/>
      <c r="N43" s="8"/>
      <c r="O43" s="8">
        <f>54.4*2*4</f>
        <v>435.2</v>
      </c>
      <c r="P43" s="8">
        <f t="shared" si="15"/>
        <v>435.2</v>
      </c>
      <c r="Q43" s="57">
        <f t="shared" si="16"/>
        <v>5812.56</v>
      </c>
      <c r="R43" s="57">
        <f t="shared" si="17"/>
        <v>1680</v>
      </c>
      <c r="S43" s="5"/>
      <c r="T43" s="5" t="s">
        <v>98</v>
      </c>
      <c r="U43" s="5"/>
      <c r="V43" s="5"/>
      <c r="W43" s="2"/>
    </row>
    <row r="44" spans="1:23" ht="12.75">
      <c r="A44" s="5" t="s">
        <v>7</v>
      </c>
      <c r="B44" s="8">
        <v>6882</v>
      </c>
      <c r="C44" s="57">
        <v>1885</v>
      </c>
      <c r="D44" s="8"/>
      <c r="E44" s="8">
        <v>960</v>
      </c>
      <c r="F44" s="8">
        <v>960</v>
      </c>
      <c r="G44" s="73">
        <f t="shared" si="14"/>
        <v>3805</v>
      </c>
      <c r="H44" s="57">
        <v>960</v>
      </c>
      <c r="I44" s="8">
        <v>960</v>
      </c>
      <c r="J44" s="8"/>
      <c r="K44" s="8">
        <v>960</v>
      </c>
      <c r="L44" s="8"/>
      <c r="M44" s="8"/>
      <c r="N44" s="8">
        <v>732</v>
      </c>
      <c r="O44" s="8">
        <v>1260</v>
      </c>
      <c r="P44" s="8">
        <f t="shared" si="15"/>
        <v>4872</v>
      </c>
      <c r="Q44" s="57">
        <f t="shared" si="16"/>
        <v>8677</v>
      </c>
      <c r="R44" s="57">
        <f t="shared" si="17"/>
        <v>1795</v>
      </c>
      <c r="S44" s="5"/>
      <c r="T44" s="5" t="s">
        <v>123</v>
      </c>
      <c r="U44" s="5"/>
      <c r="V44" s="5"/>
      <c r="W44" s="2"/>
    </row>
    <row r="45" spans="1:23" ht="12.75">
      <c r="A45" s="5" t="s">
        <v>8</v>
      </c>
      <c r="B45" s="8">
        <v>2160</v>
      </c>
      <c r="C45" s="57"/>
      <c r="D45" s="8"/>
      <c r="E45" s="8"/>
      <c r="F45" s="8">
        <v>600</v>
      </c>
      <c r="G45" s="73">
        <f t="shared" si="14"/>
        <v>600</v>
      </c>
      <c r="H45" s="57">
        <v>180</v>
      </c>
      <c r="I45" s="8">
        <f>780+120</f>
        <v>900</v>
      </c>
      <c r="J45" s="8">
        <v>120</v>
      </c>
      <c r="K45" s="8">
        <v>120</v>
      </c>
      <c r="L45" s="8"/>
      <c r="M45" s="8"/>
      <c r="N45" s="8"/>
      <c r="O45" s="8">
        <v>180</v>
      </c>
      <c r="P45" s="8">
        <f t="shared" si="15"/>
        <v>1500</v>
      </c>
      <c r="Q45" s="57">
        <f t="shared" si="16"/>
        <v>2100</v>
      </c>
      <c r="R45" s="57">
        <f t="shared" si="17"/>
        <v>-60</v>
      </c>
      <c r="S45" s="5"/>
      <c r="T45" s="5" t="s">
        <v>124</v>
      </c>
      <c r="U45" s="5"/>
      <c r="V45" s="5"/>
      <c r="W45" s="2"/>
    </row>
    <row r="46" spans="1:23" ht="12.75">
      <c r="A46" s="5" t="s">
        <v>48</v>
      </c>
      <c r="B46" s="8">
        <v>3360</v>
      </c>
      <c r="C46" s="57"/>
      <c r="D46" s="8"/>
      <c r="E46" s="8"/>
      <c r="F46" s="8">
        <v>1200</v>
      </c>
      <c r="G46" s="73">
        <f t="shared" si="14"/>
        <v>1200</v>
      </c>
      <c r="H46" s="57">
        <v>300</v>
      </c>
      <c r="I46" s="8">
        <v>300</v>
      </c>
      <c r="J46" s="8"/>
      <c r="K46" s="8">
        <v>300</v>
      </c>
      <c r="L46" s="8"/>
      <c r="M46" s="8"/>
      <c r="N46" s="8"/>
      <c r="O46" s="8">
        <v>1200</v>
      </c>
      <c r="P46" s="8">
        <f t="shared" si="15"/>
        <v>2100</v>
      </c>
      <c r="Q46" s="57">
        <f t="shared" si="16"/>
        <v>3300</v>
      </c>
      <c r="R46" s="57">
        <f t="shared" si="17"/>
        <v>-60</v>
      </c>
      <c r="S46" s="5"/>
      <c r="T46" s="5" t="s">
        <v>143</v>
      </c>
      <c r="U46" s="5"/>
      <c r="V46" s="5"/>
      <c r="W46" s="2"/>
    </row>
    <row r="47" spans="1:23" ht="12.75">
      <c r="A47" s="5" t="s">
        <v>38</v>
      </c>
      <c r="B47" s="8">
        <v>2910</v>
      </c>
      <c r="C47" s="57"/>
      <c r="D47" s="8"/>
      <c r="E47" s="8"/>
      <c r="F47" s="8">
        <v>480</v>
      </c>
      <c r="G47" s="73">
        <f t="shared" si="14"/>
        <v>480</v>
      </c>
      <c r="H47" s="57"/>
      <c r="I47" s="8"/>
      <c r="J47" s="8"/>
      <c r="K47" s="8"/>
      <c r="L47" s="8"/>
      <c r="M47" s="8"/>
      <c r="N47" s="8"/>
      <c r="O47" s="8">
        <v>1200</v>
      </c>
      <c r="P47" s="8">
        <v>1500</v>
      </c>
      <c r="Q47" s="57">
        <f t="shared" si="16"/>
        <v>1980</v>
      </c>
      <c r="R47" s="57">
        <f t="shared" si="17"/>
        <v>-930</v>
      </c>
      <c r="S47" s="5"/>
      <c r="T47" s="5" t="s">
        <v>163</v>
      </c>
      <c r="U47" s="5"/>
      <c r="V47" s="5"/>
      <c r="W47" s="2"/>
    </row>
    <row r="48" spans="1:23" ht="12.75">
      <c r="A48" s="5" t="s">
        <v>49</v>
      </c>
      <c r="B48" s="8">
        <v>6084</v>
      </c>
      <c r="C48" s="57">
        <f>900+120+3900</f>
        <v>4920</v>
      </c>
      <c r="D48" s="8"/>
      <c r="E48" s="8">
        <v>260</v>
      </c>
      <c r="F48" s="42">
        <f>260*3</f>
        <v>780</v>
      </c>
      <c r="G48" s="73">
        <f t="shared" si="14"/>
        <v>5960</v>
      </c>
      <c r="H48" s="63">
        <v>300</v>
      </c>
      <c r="I48" s="42">
        <v>260</v>
      </c>
      <c r="J48" s="42">
        <v>260</v>
      </c>
      <c r="K48" s="42">
        <v>300</v>
      </c>
      <c r="L48" s="42">
        <v>260</v>
      </c>
      <c r="M48" s="42"/>
      <c r="N48" s="42"/>
      <c r="O48" s="44">
        <v>520</v>
      </c>
      <c r="P48" s="8">
        <f t="shared" si="15"/>
        <v>1900</v>
      </c>
      <c r="Q48" s="57">
        <f t="shared" si="16"/>
        <v>7860</v>
      </c>
      <c r="R48" s="57">
        <f t="shared" si="17"/>
        <v>1776</v>
      </c>
      <c r="S48" s="5"/>
      <c r="T48" s="5" t="s">
        <v>100</v>
      </c>
      <c r="U48" s="5"/>
      <c r="V48" s="5"/>
      <c r="W48" s="2"/>
    </row>
    <row r="49" spans="1:23" ht="12.75">
      <c r="A49" s="5" t="s">
        <v>9</v>
      </c>
      <c r="B49" s="8">
        <v>8940</v>
      </c>
      <c r="C49" s="57">
        <f>1500+1200</f>
        <v>2700</v>
      </c>
      <c r="D49" s="8"/>
      <c r="E49" s="8"/>
      <c r="F49" s="8">
        <v>1800</v>
      </c>
      <c r="G49" s="73">
        <f t="shared" si="14"/>
        <v>4500</v>
      </c>
      <c r="H49" s="57">
        <v>300</v>
      </c>
      <c r="I49" s="8"/>
      <c r="J49" s="8"/>
      <c r="K49" s="8">
        <v>120</v>
      </c>
      <c r="L49" s="8"/>
      <c r="M49" s="8"/>
      <c r="N49" s="8"/>
      <c r="O49" s="8">
        <v>5400</v>
      </c>
      <c r="P49" s="8">
        <f t="shared" si="15"/>
        <v>5820</v>
      </c>
      <c r="Q49" s="57">
        <f t="shared" si="16"/>
        <v>10320</v>
      </c>
      <c r="R49" s="57">
        <f t="shared" si="17"/>
        <v>1380</v>
      </c>
      <c r="S49" s="5"/>
      <c r="T49" s="5" t="s">
        <v>99</v>
      </c>
      <c r="U49" s="5"/>
      <c r="V49" s="5"/>
      <c r="W49" s="2"/>
    </row>
    <row r="50" spans="1:23" ht="12.75">
      <c r="A50" s="5" t="s">
        <v>47</v>
      </c>
      <c r="B50" s="8">
        <v>5790</v>
      </c>
      <c r="C50" s="57">
        <v>1152</v>
      </c>
      <c r="D50" s="8"/>
      <c r="E50" s="8"/>
      <c r="F50" s="8">
        <v>1800</v>
      </c>
      <c r="G50" s="73">
        <f t="shared" si="14"/>
        <v>2952</v>
      </c>
      <c r="H50" s="57">
        <v>120</v>
      </c>
      <c r="I50" s="8"/>
      <c r="J50" s="8"/>
      <c r="K50" s="8">
        <v>90</v>
      </c>
      <c r="L50" s="8"/>
      <c r="M50" s="8"/>
      <c r="N50" s="8"/>
      <c r="O50" s="8">
        <v>900</v>
      </c>
      <c r="P50" s="8">
        <f t="shared" si="15"/>
        <v>1110</v>
      </c>
      <c r="Q50" s="57">
        <f t="shared" si="16"/>
        <v>4062</v>
      </c>
      <c r="R50" s="57">
        <f t="shared" si="17"/>
        <v>-1728</v>
      </c>
      <c r="S50" s="5"/>
      <c r="T50" s="5" t="s">
        <v>99</v>
      </c>
      <c r="U50" s="5"/>
      <c r="V50" s="5"/>
      <c r="W50" s="2"/>
    </row>
    <row r="51" spans="1:23" ht="12.75">
      <c r="A51" s="22" t="s">
        <v>35</v>
      </c>
      <c r="B51" s="8">
        <v>7051</v>
      </c>
      <c r="C51" s="57">
        <v>2016</v>
      </c>
      <c r="D51" s="8"/>
      <c r="E51" s="8"/>
      <c r="F51" s="8">
        <v>3000</v>
      </c>
      <c r="G51" s="73">
        <f t="shared" si="14"/>
        <v>5016</v>
      </c>
      <c r="H51" s="57">
        <v>600</v>
      </c>
      <c r="I51" s="8"/>
      <c r="J51" s="8"/>
      <c r="K51" s="8">
        <v>180</v>
      </c>
      <c r="L51" s="8">
        <v>600</v>
      </c>
      <c r="M51" s="8"/>
      <c r="N51" s="8">
        <v>60</v>
      </c>
      <c r="O51" s="8">
        <v>1200</v>
      </c>
      <c r="P51" s="8">
        <f t="shared" si="15"/>
        <v>2640</v>
      </c>
      <c r="Q51" s="57">
        <f t="shared" si="16"/>
        <v>7656</v>
      </c>
      <c r="R51" s="57">
        <f t="shared" si="17"/>
        <v>605</v>
      </c>
      <c r="S51" s="5"/>
      <c r="T51" s="5" t="s">
        <v>99</v>
      </c>
      <c r="U51" s="5"/>
      <c r="V51" s="5"/>
      <c r="W51" s="2"/>
    </row>
    <row r="52" spans="1:23" ht="12.75">
      <c r="A52" s="5" t="s">
        <v>10</v>
      </c>
      <c r="B52" s="8">
        <v>4650</v>
      </c>
      <c r="C52" s="57"/>
      <c r="D52" s="8"/>
      <c r="E52" s="8"/>
      <c r="F52" s="8"/>
      <c r="G52" s="73"/>
      <c r="H52" s="57"/>
      <c r="I52" s="8"/>
      <c r="J52" s="8"/>
      <c r="K52" s="8"/>
      <c r="L52" s="8"/>
      <c r="M52" s="8"/>
      <c r="N52" s="8"/>
      <c r="O52" s="8">
        <v>4650</v>
      </c>
      <c r="P52" s="8">
        <f t="shared" si="15"/>
        <v>4650</v>
      </c>
      <c r="Q52" s="57">
        <f t="shared" si="16"/>
        <v>4650</v>
      </c>
      <c r="R52" s="57">
        <f t="shared" si="17"/>
        <v>0</v>
      </c>
      <c r="S52" s="5"/>
      <c r="T52" s="5" t="s">
        <v>125</v>
      </c>
      <c r="U52" s="5"/>
      <c r="V52" s="5"/>
      <c r="W52" s="2"/>
    </row>
    <row r="53" spans="1:23" ht="12.75">
      <c r="A53" s="5" t="s">
        <v>11</v>
      </c>
      <c r="B53" s="8">
        <v>300</v>
      </c>
      <c r="C53" s="57"/>
      <c r="D53" s="8"/>
      <c r="E53" s="8"/>
      <c r="F53" s="8"/>
      <c r="G53" s="73"/>
      <c r="H53" s="57"/>
      <c r="I53" s="8"/>
      <c r="J53" s="8"/>
      <c r="K53" s="8"/>
      <c r="L53" s="8"/>
      <c r="M53" s="8"/>
      <c r="N53" s="8"/>
      <c r="O53" s="8">
        <v>300</v>
      </c>
      <c r="P53" s="8">
        <f t="shared" si="15"/>
        <v>300</v>
      </c>
      <c r="Q53" s="57">
        <f t="shared" si="16"/>
        <v>300</v>
      </c>
      <c r="R53" s="57">
        <f t="shared" si="17"/>
        <v>0</v>
      </c>
      <c r="S53" s="5"/>
      <c r="T53" s="5" t="s">
        <v>126</v>
      </c>
      <c r="U53" s="5"/>
      <c r="V53" s="5"/>
      <c r="W53" s="2"/>
    </row>
    <row r="54" spans="1:23" ht="12.75">
      <c r="A54" s="5" t="s">
        <v>12</v>
      </c>
      <c r="B54" s="8">
        <v>39750</v>
      </c>
      <c r="C54" s="57">
        <v>10200</v>
      </c>
      <c r="D54" s="8"/>
      <c r="E54" s="8"/>
      <c r="F54" s="8">
        <v>10200</v>
      </c>
      <c r="G54" s="73">
        <f>C54+D54+E54+F54</f>
        <v>20400</v>
      </c>
      <c r="H54" s="57">
        <v>4200</v>
      </c>
      <c r="I54" s="8">
        <f>350*12</f>
        <v>4200</v>
      </c>
      <c r="J54" s="8"/>
      <c r="K54" s="8">
        <v>2400</v>
      </c>
      <c r="L54" s="8">
        <v>1200</v>
      </c>
      <c r="M54" s="8"/>
      <c r="N54" s="8">
        <f>250*5</f>
        <v>1250</v>
      </c>
      <c r="O54" s="8">
        <f>1175*12-3600</f>
        <v>10500</v>
      </c>
      <c r="P54" s="8">
        <f t="shared" si="15"/>
        <v>23750</v>
      </c>
      <c r="Q54" s="57">
        <f t="shared" si="16"/>
        <v>44150</v>
      </c>
      <c r="R54" s="57">
        <f t="shared" si="17"/>
        <v>4400</v>
      </c>
      <c r="S54" s="5"/>
      <c r="T54" s="5" t="s">
        <v>164</v>
      </c>
      <c r="U54" s="5"/>
      <c r="V54" s="5"/>
      <c r="W54" s="2"/>
    </row>
    <row r="55" spans="1:24" ht="12.75">
      <c r="A55" s="5" t="s">
        <v>13</v>
      </c>
      <c r="B55" s="8">
        <v>600</v>
      </c>
      <c r="C55" s="57"/>
      <c r="D55" s="8"/>
      <c r="E55" s="8"/>
      <c r="F55" s="8">
        <v>240</v>
      </c>
      <c r="G55" s="73">
        <f>C55+D55+E55+F55</f>
        <v>240</v>
      </c>
      <c r="H55" s="57">
        <v>120</v>
      </c>
      <c r="I55" s="8"/>
      <c r="J55" s="8"/>
      <c r="K55" s="8"/>
      <c r="L55" s="8"/>
      <c r="M55" s="8"/>
      <c r="N55" s="8"/>
      <c r="O55" s="8">
        <v>360</v>
      </c>
      <c r="P55" s="8">
        <f t="shared" si="15"/>
        <v>480</v>
      </c>
      <c r="Q55" s="57">
        <f t="shared" si="16"/>
        <v>720</v>
      </c>
      <c r="R55" s="57">
        <f t="shared" si="17"/>
        <v>120</v>
      </c>
      <c r="S55" s="5"/>
      <c r="T55" s="5" t="s">
        <v>127</v>
      </c>
      <c r="U55" s="5"/>
      <c r="V55" s="5"/>
      <c r="W55" s="2"/>
      <c r="X55" s="16"/>
    </row>
    <row r="56" spans="1:23" ht="12.75">
      <c r="A56" s="5" t="s">
        <v>58</v>
      </c>
      <c r="B56" s="8">
        <v>18793</v>
      </c>
      <c r="C56" s="57">
        <f>1776+960</f>
        <v>2736</v>
      </c>
      <c r="D56" s="8"/>
      <c r="E56" s="8"/>
      <c r="F56" s="84">
        <v>1200</v>
      </c>
      <c r="G56" s="84">
        <f>C56+D56+E56+F56</f>
        <v>3936</v>
      </c>
      <c r="H56" s="57">
        <v>2400</v>
      </c>
      <c r="I56" s="8">
        <v>1200</v>
      </c>
      <c r="J56" s="8"/>
      <c r="K56" s="8">
        <v>300</v>
      </c>
      <c r="L56" s="8">
        <v>360</v>
      </c>
      <c r="M56" s="8">
        <v>600</v>
      </c>
      <c r="N56" s="8"/>
      <c r="O56" s="8">
        <f>2556+636+1200+900-360+1656+1080+120-600+238.4</f>
        <v>7426.4</v>
      </c>
      <c r="P56" s="8">
        <f t="shared" si="15"/>
        <v>12286.4</v>
      </c>
      <c r="Q56" s="57">
        <f t="shared" si="16"/>
        <v>16222.4</v>
      </c>
      <c r="R56" s="57">
        <f t="shared" si="17"/>
        <v>-2570.6000000000004</v>
      </c>
      <c r="S56" s="5"/>
      <c r="T56" s="5" t="s">
        <v>144</v>
      </c>
      <c r="U56" s="5"/>
      <c r="V56" s="5"/>
      <c r="W56" s="2"/>
    </row>
    <row r="57" spans="1:23" ht="12.75">
      <c r="A57" s="5" t="s">
        <v>14</v>
      </c>
      <c r="B57" s="8">
        <v>34190</v>
      </c>
      <c r="C57" s="57">
        <f>2500+3590+1145+600+516</f>
        <v>8351</v>
      </c>
      <c r="D57" s="8"/>
      <c r="E57" s="8">
        <v>1800</v>
      </c>
      <c r="F57" s="8">
        <f>1800+(50*12)</f>
        <v>2400</v>
      </c>
      <c r="G57" s="73">
        <f>C57+D57+E57+F57</f>
        <v>12551</v>
      </c>
      <c r="H57" s="57">
        <v>4800</v>
      </c>
      <c r="I57" s="8">
        <f>1800+(150*12)</f>
        <v>3600</v>
      </c>
      <c r="J57" s="8">
        <f>1800+(150*12)</f>
        <v>3600</v>
      </c>
      <c r="K57" s="8">
        <v>4320</v>
      </c>
      <c r="L57" s="8">
        <v>1500</v>
      </c>
      <c r="M57" s="8">
        <v>240</v>
      </c>
      <c r="N57" s="8">
        <v>600</v>
      </c>
      <c r="O57" s="8">
        <v>0</v>
      </c>
      <c r="P57" s="8">
        <f t="shared" si="15"/>
        <v>18660</v>
      </c>
      <c r="Q57" s="57">
        <f t="shared" si="16"/>
        <v>31211</v>
      </c>
      <c r="R57" s="57">
        <f t="shared" si="17"/>
        <v>-2979</v>
      </c>
      <c r="S57" s="5"/>
      <c r="T57" s="5" t="s">
        <v>99</v>
      </c>
      <c r="U57" s="5"/>
      <c r="V57" s="5"/>
      <c r="W57" s="2"/>
    </row>
    <row r="58" spans="1:23" ht="12.75">
      <c r="A58" s="5" t="s">
        <v>71</v>
      </c>
      <c r="B58" s="8">
        <v>3630</v>
      </c>
      <c r="C58" s="57"/>
      <c r="D58" s="8"/>
      <c r="E58" s="8">
        <v>240</v>
      </c>
      <c r="F58" s="8">
        <v>240</v>
      </c>
      <c r="G58" s="73">
        <f>C58+D58+E58+F58</f>
        <v>480</v>
      </c>
      <c r="H58" s="57">
        <v>1200</v>
      </c>
      <c r="I58" s="8"/>
      <c r="J58" s="8"/>
      <c r="K58" s="8"/>
      <c r="L58" s="8">
        <v>360</v>
      </c>
      <c r="M58" s="8"/>
      <c r="N58" s="8"/>
      <c r="O58" s="8">
        <v>1800</v>
      </c>
      <c r="P58" s="8">
        <f t="shared" si="15"/>
        <v>3360</v>
      </c>
      <c r="Q58" s="57">
        <f t="shared" si="16"/>
        <v>3840</v>
      </c>
      <c r="R58" s="57">
        <f t="shared" si="17"/>
        <v>210</v>
      </c>
      <c r="S58" s="5"/>
      <c r="T58" s="5" t="s">
        <v>101</v>
      </c>
      <c r="U58" s="5"/>
      <c r="V58" s="5"/>
      <c r="W58" s="4"/>
    </row>
    <row r="59" spans="1:23" ht="12.75">
      <c r="A59" s="1" t="s">
        <v>15</v>
      </c>
      <c r="B59" s="8">
        <v>187512.56</v>
      </c>
      <c r="C59" s="57">
        <f aca="true" t="shared" si="18" ref="C59:Q59">SUM(C39:C58)</f>
        <v>38090</v>
      </c>
      <c r="D59" s="8">
        <f t="shared" si="18"/>
        <v>0</v>
      </c>
      <c r="E59" s="8">
        <f t="shared" si="18"/>
        <v>3260</v>
      </c>
      <c r="F59" s="8">
        <f t="shared" si="18"/>
        <v>35142.36</v>
      </c>
      <c r="G59" s="73">
        <f t="shared" si="18"/>
        <v>76492.36</v>
      </c>
      <c r="H59" s="57">
        <f t="shared" si="18"/>
        <v>16640</v>
      </c>
      <c r="I59" s="8">
        <f t="shared" si="18"/>
        <v>12680</v>
      </c>
      <c r="J59" s="8">
        <f t="shared" si="18"/>
        <v>4880</v>
      </c>
      <c r="K59" s="8">
        <f t="shared" si="18"/>
        <v>9690</v>
      </c>
      <c r="L59" s="8">
        <f t="shared" si="18"/>
        <v>14740</v>
      </c>
      <c r="M59" s="8">
        <f>SUM(M39:M58)</f>
        <v>840</v>
      </c>
      <c r="N59" s="8">
        <f t="shared" si="18"/>
        <v>2642</v>
      </c>
      <c r="O59" s="8">
        <f t="shared" si="18"/>
        <v>46951.6</v>
      </c>
      <c r="P59" s="8">
        <f>SUM(P39:P58)</f>
        <v>109363.59999999999</v>
      </c>
      <c r="Q59" s="57">
        <f t="shared" si="18"/>
        <v>185855.96</v>
      </c>
      <c r="R59" s="57">
        <f>SUM(R39:R58)</f>
        <v>-1656.6000000000004</v>
      </c>
      <c r="S59" s="34"/>
      <c r="T59" s="49">
        <f>R59/B59</f>
        <v>-0.008834608199045442</v>
      </c>
      <c r="U59" s="33" t="s">
        <v>120</v>
      </c>
      <c r="V59" s="5"/>
      <c r="W59" s="2"/>
    </row>
    <row r="60" spans="1:23" ht="12.75">
      <c r="A60" s="1" t="s">
        <v>16</v>
      </c>
      <c r="B60" s="9">
        <v>861983.624568</v>
      </c>
      <c r="C60" s="58">
        <f aca="true" t="shared" si="19" ref="C60:Q60">C59+C36</f>
        <v>239532.6747701667</v>
      </c>
      <c r="D60" s="9">
        <f t="shared" si="19"/>
        <v>0</v>
      </c>
      <c r="E60" s="9">
        <f t="shared" si="19"/>
        <v>49328.3143025</v>
      </c>
      <c r="F60" s="9">
        <f t="shared" si="19"/>
        <v>115058.2803</v>
      </c>
      <c r="G60" s="75">
        <f t="shared" si="19"/>
        <v>403919.26937266666</v>
      </c>
      <c r="H60" s="58">
        <f t="shared" si="19"/>
        <v>76730.8016</v>
      </c>
      <c r="I60" s="9">
        <f t="shared" si="19"/>
        <v>91644.545186</v>
      </c>
      <c r="J60" s="9">
        <f t="shared" si="19"/>
        <v>101426.362016</v>
      </c>
      <c r="K60" s="9">
        <f t="shared" si="19"/>
        <v>90782.3609855</v>
      </c>
      <c r="L60" s="9">
        <f t="shared" si="19"/>
        <v>54454.6797045</v>
      </c>
      <c r="M60" s="9">
        <f>M59+M36</f>
        <v>19815.48047</v>
      </c>
      <c r="N60" s="9">
        <f t="shared" si="19"/>
        <v>2642</v>
      </c>
      <c r="O60" s="9">
        <f t="shared" si="19"/>
        <v>46951.6</v>
      </c>
      <c r="P60" s="9">
        <f t="shared" si="19"/>
        <v>484747.82996199996</v>
      </c>
      <c r="Q60" s="58">
        <f t="shared" si="19"/>
        <v>888667.0993346666</v>
      </c>
      <c r="R60" s="58">
        <f>R36+R59</f>
        <v>26683.47476666663</v>
      </c>
      <c r="S60" s="34"/>
      <c r="T60" s="47">
        <f>R60/B60</f>
        <v>0.030955895223693578</v>
      </c>
      <c r="U60" s="33" t="s">
        <v>120</v>
      </c>
      <c r="V60" s="5"/>
      <c r="W60" s="2"/>
    </row>
    <row r="61" spans="1:23" ht="12.75">
      <c r="A61" s="5"/>
      <c r="B61" s="5"/>
      <c r="C61" s="55"/>
      <c r="D61" s="5"/>
      <c r="E61" s="5"/>
      <c r="F61" s="5"/>
      <c r="G61" s="73"/>
      <c r="H61" s="57"/>
      <c r="I61" s="5"/>
      <c r="J61" s="5"/>
      <c r="K61" s="5"/>
      <c r="L61" s="5"/>
      <c r="M61" s="5"/>
      <c r="N61" s="5"/>
      <c r="O61" s="5"/>
      <c r="P61" s="5"/>
      <c r="Q61" s="55"/>
      <c r="R61" s="57"/>
      <c r="S61" s="5"/>
      <c r="T61" s="5"/>
      <c r="U61" s="5"/>
      <c r="V61" s="5"/>
      <c r="W61" s="2"/>
    </row>
    <row r="62" spans="1:23" ht="12.75">
      <c r="A62" s="1" t="s">
        <v>17</v>
      </c>
      <c r="B62" s="32" t="s">
        <v>27</v>
      </c>
      <c r="C62" s="59" t="s">
        <v>148</v>
      </c>
      <c r="D62" s="32" t="s">
        <v>86</v>
      </c>
      <c r="E62" s="32" t="s">
        <v>116</v>
      </c>
      <c r="F62" s="32" t="s">
        <v>62</v>
      </c>
      <c r="G62" s="76" t="s">
        <v>26</v>
      </c>
      <c r="H62" s="59" t="s">
        <v>59</v>
      </c>
      <c r="I62" s="32" t="s">
        <v>65</v>
      </c>
      <c r="J62" s="32" t="s">
        <v>31</v>
      </c>
      <c r="K62" s="32" t="s">
        <v>70</v>
      </c>
      <c r="L62" s="32" t="s">
        <v>77</v>
      </c>
      <c r="M62" s="32" t="s">
        <v>93</v>
      </c>
      <c r="N62" s="32" t="s">
        <v>118</v>
      </c>
      <c r="O62" s="32" t="s">
        <v>69</v>
      </c>
      <c r="P62" s="32" t="s">
        <v>32</v>
      </c>
      <c r="Q62" s="59" t="s">
        <v>27</v>
      </c>
      <c r="R62" s="59" t="s">
        <v>72</v>
      </c>
      <c r="S62" s="5"/>
      <c r="T62" s="5"/>
      <c r="U62" s="5"/>
      <c r="V62" s="5"/>
      <c r="W62" s="2"/>
    </row>
    <row r="63" spans="1:23" ht="12.75">
      <c r="A63" s="5" t="s">
        <v>18</v>
      </c>
      <c r="B63" s="8">
        <v>180000</v>
      </c>
      <c r="C63" s="57"/>
      <c r="D63" s="8"/>
      <c r="E63" s="8"/>
      <c r="F63" s="8">
        <v>32160</v>
      </c>
      <c r="G63" s="73">
        <f aca="true" t="shared" si="20" ref="G63:G87">C63+D63+E63+F63</f>
        <v>32160</v>
      </c>
      <c r="H63" s="57"/>
      <c r="I63" s="8"/>
      <c r="J63" s="8"/>
      <c r="K63" s="8"/>
      <c r="L63" s="8"/>
      <c r="M63" s="8"/>
      <c r="N63" s="8"/>
      <c r="O63" s="8">
        <v>147840</v>
      </c>
      <c r="P63" s="8">
        <f aca="true" t="shared" si="21" ref="P63:P76">H63+I63+J63+K63+L63+M63+N63+O63</f>
        <v>147840</v>
      </c>
      <c r="Q63" s="57">
        <f aca="true" t="shared" si="22" ref="Q63:Q85">G63+P63</f>
        <v>180000</v>
      </c>
      <c r="R63" s="57">
        <f aca="true" t="shared" si="23" ref="R63:R85">Q63-B63</f>
        <v>0</v>
      </c>
      <c r="S63" s="5"/>
      <c r="T63" s="5" t="s">
        <v>102</v>
      </c>
      <c r="U63" s="8"/>
      <c r="V63" s="5"/>
      <c r="W63" s="2"/>
    </row>
    <row r="64" spans="1:23" ht="12.75">
      <c r="A64" s="5" t="s">
        <v>51</v>
      </c>
      <c r="B64" s="8">
        <v>22000</v>
      </c>
      <c r="C64" s="57"/>
      <c r="D64" s="8"/>
      <c r="E64" s="8">
        <f>50*100</f>
        <v>5000</v>
      </c>
      <c r="F64" s="8">
        <v>15000</v>
      </c>
      <c r="G64" s="73">
        <f t="shared" si="20"/>
        <v>20000</v>
      </c>
      <c r="H64" s="57"/>
      <c r="I64" s="8"/>
      <c r="J64" s="8"/>
      <c r="K64" s="8"/>
      <c r="L64" s="8"/>
      <c r="M64" s="8"/>
      <c r="N64" s="8"/>
      <c r="O64" s="8"/>
      <c r="P64" s="8"/>
      <c r="Q64" s="57">
        <f t="shared" si="22"/>
        <v>20000</v>
      </c>
      <c r="R64" s="57">
        <f t="shared" si="23"/>
        <v>-2000</v>
      </c>
      <c r="S64" s="5"/>
      <c r="T64" s="5" t="s">
        <v>168</v>
      </c>
      <c r="U64" s="5"/>
      <c r="V64" s="5"/>
      <c r="W64" s="2"/>
    </row>
    <row r="65" spans="1:23" ht="12.75">
      <c r="A65" s="5" t="s">
        <v>85</v>
      </c>
      <c r="B65" s="8">
        <v>15840</v>
      </c>
      <c r="C65" s="57"/>
      <c r="D65" s="8"/>
      <c r="E65" s="8"/>
      <c r="F65" s="8">
        <v>3840</v>
      </c>
      <c r="G65" s="73">
        <f>C65+D65+E65+F65</f>
        <v>3840</v>
      </c>
      <c r="H65" s="57">
        <v>6000</v>
      </c>
      <c r="I65" s="8"/>
      <c r="J65" s="8"/>
      <c r="K65" s="8"/>
      <c r="L65" s="8"/>
      <c r="M65" s="8"/>
      <c r="N65" s="8"/>
      <c r="O65" s="48">
        <v>6000</v>
      </c>
      <c r="P65" s="8">
        <f t="shared" si="21"/>
        <v>12000</v>
      </c>
      <c r="Q65" s="57">
        <f t="shared" si="22"/>
        <v>15840</v>
      </c>
      <c r="R65" s="57">
        <f t="shared" si="23"/>
        <v>0</v>
      </c>
      <c r="S65" s="5"/>
      <c r="T65" s="5" t="s">
        <v>124</v>
      </c>
      <c r="U65" s="5"/>
      <c r="V65" s="5"/>
      <c r="W65" s="2"/>
    </row>
    <row r="66" spans="1:23" ht="12.75">
      <c r="A66" s="5" t="s">
        <v>52</v>
      </c>
      <c r="B66" s="8">
        <v>55600</v>
      </c>
      <c r="C66" s="57">
        <v>25000</v>
      </c>
      <c r="D66" s="8"/>
      <c r="E66" s="8"/>
      <c r="F66" s="8">
        <v>9000</v>
      </c>
      <c r="G66" s="73">
        <f>C66+D66+E66+F66</f>
        <v>34000</v>
      </c>
      <c r="H66" s="57"/>
      <c r="I66" s="8"/>
      <c r="J66" s="8"/>
      <c r="K66" s="8"/>
      <c r="L66" s="8"/>
      <c r="M66" s="8"/>
      <c r="N66" s="8"/>
      <c r="O66" s="8">
        <v>32000</v>
      </c>
      <c r="P66" s="8">
        <f t="shared" si="21"/>
        <v>32000</v>
      </c>
      <c r="Q66" s="57">
        <f t="shared" si="22"/>
        <v>66000</v>
      </c>
      <c r="R66" s="57">
        <f t="shared" si="23"/>
        <v>10400</v>
      </c>
      <c r="S66" s="5"/>
      <c r="T66" s="5" t="s">
        <v>169</v>
      </c>
      <c r="U66" s="5"/>
      <c r="V66" s="5"/>
      <c r="W66" s="2"/>
    </row>
    <row r="67" spans="1:23" ht="12.75">
      <c r="A67" s="5" t="s">
        <v>53</v>
      </c>
      <c r="B67" s="8">
        <v>25000</v>
      </c>
      <c r="C67" s="57"/>
      <c r="D67" s="8"/>
      <c r="E67" s="8"/>
      <c r="F67" s="8">
        <v>12500</v>
      </c>
      <c r="G67" s="73">
        <f t="shared" si="20"/>
        <v>12500</v>
      </c>
      <c r="H67" s="57"/>
      <c r="I67" s="8"/>
      <c r="J67" s="8"/>
      <c r="K67" s="8"/>
      <c r="L67" s="8"/>
      <c r="M67" s="8"/>
      <c r="N67" s="8"/>
      <c r="O67" s="8">
        <v>12500</v>
      </c>
      <c r="P67" s="8">
        <f t="shared" si="21"/>
        <v>12500</v>
      </c>
      <c r="Q67" s="57">
        <f t="shared" si="22"/>
        <v>25000</v>
      </c>
      <c r="R67" s="57">
        <f t="shared" si="23"/>
        <v>0</v>
      </c>
      <c r="S67" s="5"/>
      <c r="T67" s="5" t="s">
        <v>166</v>
      </c>
      <c r="U67" s="5"/>
      <c r="V67" s="5"/>
      <c r="W67" s="2"/>
    </row>
    <row r="68" spans="1:23" ht="12.75">
      <c r="A68" s="5" t="s">
        <v>73</v>
      </c>
      <c r="B68" s="8">
        <v>80000</v>
      </c>
      <c r="C68" s="57"/>
      <c r="D68" s="8"/>
      <c r="E68" s="8"/>
      <c r="F68" s="8"/>
      <c r="G68" s="73">
        <f t="shared" si="20"/>
        <v>0</v>
      </c>
      <c r="H68" s="85">
        <v>0</v>
      </c>
      <c r="I68" s="8"/>
      <c r="J68" s="8"/>
      <c r="K68" s="8"/>
      <c r="L68" s="8"/>
      <c r="M68" s="8"/>
      <c r="N68" s="8"/>
      <c r="O68" s="8"/>
      <c r="P68" s="8">
        <f t="shared" si="21"/>
        <v>0</v>
      </c>
      <c r="Q68" s="57">
        <f t="shared" si="22"/>
        <v>0</v>
      </c>
      <c r="R68" s="57">
        <f t="shared" si="23"/>
        <v>-80000</v>
      </c>
      <c r="S68" s="5"/>
      <c r="T68" s="5" t="s">
        <v>170</v>
      </c>
      <c r="U68" s="5"/>
      <c r="V68" s="5"/>
      <c r="W68" s="2"/>
    </row>
    <row r="69" spans="1:23" ht="12.75">
      <c r="A69" s="5" t="s">
        <v>68</v>
      </c>
      <c r="B69" s="8">
        <v>45000</v>
      </c>
      <c r="C69" s="57"/>
      <c r="D69" s="8"/>
      <c r="E69" s="8"/>
      <c r="F69" s="8"/>
      <c r="G69" s="73">
        <f t="shared" si="20"/>
        <v>0</v>
      </c>
      <c r="H69" s="57"/>
      <c r="I69" s="8"/>
      <c r="J69" s="8"/>
      <c r="K69" s="8">
        <v>45000</v>
      </c>
      <c r="L69" s="8"/>
      <c r="M69" s="8"/>
      <c r="N69" s="8"/>
      <c r="O69" s="8"/>
      <c r="P69" s="8">
        <f t="shared" si="21"/>
        <v>45000</v>
      </c>
      <c r="Q69" s="57">
        <f t="shared" si="22"/>
        <v>45000</v>
      </c>
      <c r="R69" s="57">
        <f t="shared" si="23"/>
        <v>0</v>
      </c>
      <c r="S69" s="5"/>
      <c r="T69" s="5" t="s">
        <v>103</v>
      </c>
      <c r="U69" s="5"/>
      <c r="V69" s="5"/>
      <c r="W69" s="2"/>
    </row>
    <row r="70" spans="1:23" ht="12.75">
      <c r="A70" s="5" t="s">
        <v>79</v>
      </c>
      <c r="B70" s="8">
        <v>45000</v>
      </c>
      <c r="C70" s="57"/>
      <c r="D70" s="8"/>
      <c r="E70" s="8"/>
      <c r="F70" s="8"/>
      <c r="G70" s="73">
        <f t="shared" si="20"/>
        <v>0</v>
      </c>
      <c r="H70" s="57"/>
      <c r="I70" s="8"/>
      <c r="J70" s="8"/>
      <c r="K70" s="8">
        <v>45000</v>
      </c>
      <c r="L70" s="8"/>
      <c r="M70" s="8"/>
      <c r="N70" s="8"/>
      <c r="O70" s="8"/>
      <c r="P70" s="8">
        <f t="shared" si="21"/>
        <v>45000</v>
      </c>
      <c r="Q70" s="57">
        <f t="shared" si="22"/>
        <v>45000</v>
      </c>
      <c r="R70" s="57">
        <f t="shared" si="23"/>
        <v>0</v>
      </c>
      <c r="S70" s="5"/>
      <c r="T70" s="5" t="s">
        <v>103</v>
      </c>
      <c r="U70" s="5"/>
      <c r="V70" s="5"/>
      <c r="W70" s="2"/>
    </row>
    <row r="71" spans="1:23" ht="12.75">
      <c r="A71" s="5" t="s">
        <v>78</v>
      </c>
      <c r="B71" s="8">
        <v>50000</v>
      </c>
      <c r="C71" s="57"/>
      <c r="D71" s="8"/>
      <c r="E71" s="8"/>
      <c r="F71" s="8"/>
      <c r="G71" s="73">
        <f t="shared" si="20"/>
        <v>0</v>
      </c>
      <c r="H71" s="57"/>
      <c r="I71" s="8"/>
      <c r="J71" s="8"/>
      <c r="K71" s="8"/>
      <c r="L71" s="8">
        <v>50000</v>
      </c>
      <c r="M71" s="8"/>
      <c r="N71" s="8"/>
      <c r="O71" s="8"/>
      <c r="P71" s="8">
        <f t="shared" si="21"/>
        <v>50000</v>
      </c>
      <c r="Q71" s="57">
        <f t="shared" si="22"/>
        <v>50000</v>
      </c>
      <c r="R71" s="57">
        <f t="shared" si="23"/>
        <v>0</v>
      </c>
      <c r="S71" s="5"/>
      <c r="T71" s="5" t="s">
        <v>103</v>
      </c>
      <c r="U71" s="5"/>
      <c r="V71" s="5"/>
      <c r="W71" s="2"/>
    </row>
    <row r="72" spans="1:23" ht="12.75">
      <c r="A72" s="5" t="s">
        <v>95</v>
      </c>
      <c r="B72" s="8">
        <v>40000</v>
      </c>
      <c r="C72" s="57"/>
      <c r="D72" s="8"/>
      <c r="E72" s="8"/>
      <c r="F72" s="8"/>
      <c r="G72" s="73">
        <f t="shared" si="20"/>
        <v>0</v>
      </c>
      <c r="H72" s="57"/>
      <c r="I72" s="8"/>
      <c r="J72" s="8"/>
      <c r="K72" s="8"/>
      <c r="L72" s="8"/>
      <c r="M72" s="8">
        <v>20000</v>
      </c>
      <c r="N72" s="8"/>
      <c r="O72" s="8"/>
      <c r="P72" s="8">
        <f t="shared" si="21"/>
        <v>20000</v>
      </c>
      <c r="Q72" s="57">
        <f t="shared" si="22"/>
        <v>20000</v>
      </c>
      <c r="R72" s="57">
        <f t="shared" si="23"/>
        <v>-20000</v>
      </c>
      <c r="S72" s="5"/>
      <c r="T72" s="5" t="s">
        <v>171</v>
      </c>
      <c r="U72" s="5"/>
      <c r="V72" s="5"/>
      <c r="W72" s="2"/>
    </row>
    <row r="73" spans="1:23" ht="12.75">
      <c r="A73" s="5" t="s">
        <v>148</v>
      </c>
      <c r="B73" s="8">
        <v>133933.99750000003</v>
      </c>
      <c r="C73" s="57">
        <v>202463</v>
      </c>
      <c r="D73" s="8"/>
      <c r="E73" s="8"/>
      <c r="F73" s="8"/>
      <c r="G73" s="73">
        <f t="shared" si="20"/>
        <v>202463</v>
      </c>
      <c r="H73" s="57"/>
      <c r="I73" s="8"/>
      <c r="J73" s="8"/>
      <c r="K73" s="8"/>
      <c r="L73" s="8"/>
      <c r="M73" s="8"/>
      <c r="N73" s="8"/>
      <c r="O73" s="8"/>
      <c r="P73" s="8">
        <f t="shared" si="21"/>
        <v>0</v>
      </c>
      <c r="Q73" s="57">
        <f t="shared" si="22"/>
        <v>202463</v>
      </c>
      <c r="R73" s="57">
        <f t="shared" si="23"/>
        <v>68529.00249999997</v>
      </c>
      <c r="S73" s="5"/>
      <c r="T73" s="5" t="s">
        <v>172</v>
      </c>
      <c r="U73" s="5"/>
      <c r="V73" s="5"/>
      <c r="W73" s="2"/>
    </row>
    <row r="74" spans="1:23" ht="12.75" hidden="1">
      <c r="A74" s="5" t="s">
        <v>75</v>
      </c>
      <c r="B74" s="8">
        <v>0</v>
      </c>
      <c r="C74" s="57"/>
      <c r="D74" s="8"/>
      <c r="E74" s="8"/>
      <c r="F74" s="8"/>
      <c r="G74" s="73">
        <f t="shared" si="20"/>
        <v>0</v>
      </c>
      <c r="H74" s="57"/>
      <c r="I74" s="8"/>
      <c r="J74" s="8"/>
      <c r="K74" s="8"/>
      <c r="L74" s="8"/>
      <c r="M74" s="8"/>
      <c r="N74" s="8"/>
      <c r="O74" s="8"/>
      <c r="P74" s="8">
        <f t="shared" si="21"/>
        <v>0</v>
      </c>
      <c r="Q74" s="57">
        <f t="shared" si="22"/>
        <v>0</v>
      </c>
      <c r="R74" s="57">
        <f t="shared" si="23"/>
        <v>0</v>
      </c>
      <c r="S74" s="5"/>
      <c r="T74" s="5" t="s">
        <v>104</v>
      </c>
      <c r="U74" s="5"/>
      <c r="V74" s="5"/>
      <c r="W74" s="2"/>
    </row>
    <row r="75" spans="1:23" ht="12.75">
      <c r="A75" s="5" t="s">
        <v>54</v>
      </c>
      <c r="B75" s="8">
        <v>6000</v>
      </c>
      <c r="C75" s="57"/>
      <c r="D75" s="8"/>
      <c r="E75" s="8">
        <v>3000</v>
      </c>
      <c r="F75" s="8">
        <v>3000</v>
      </c>
      <c r="G75" s="73">
        <f t="shared" si="20"/>
        <v>6000</v>
      </c>
      <c r="H75" s="57"/>
      <c r="I75" s="8"/>
      <c r="J75" s="8"/>
      <c r="K75" s="8"/>
      <c r="L75" s="8"/>
      <c r="M75" s="8"/>
      <c r="N75" s="8"/>
      <c r="O75" s="8"/>
      <c r="P75" s="8">
        <f t="shared" si="21"/>
        <v>0</v>
      </c>
      <c r="Q75" s="57">
        <f t="shared" si="22"/>
        <v>6000</v>
      </c>
      <c r="R75" s="57">
        <f t="shared" si="23"/>
        <v>0</v>
      </c>
      <c r="S75" s="5"/>
      <c r="T75" s="5" t="s">
        <v>105</v>
      </c>
      <c r="U75" s="5"/>
      <c r="V75" s="5"/>
      <c r="W75" s="2"/>
    </row>
    <row r="76" spans="1:23" ht="12.75">
      <c r="A76" s="5" t="s">
        <v>74</v>
      </c>
      <c r="B76" s="8">
        <v>20000</v>
      </c>
      <c r="C76" s="57"/>
      <c r="D76" s="8"/>
      <c r="E76" s="8">
        <v>13200</v>
      </c>
      <c r="F76" s="8"/>
      <c r="G76" s="73">
        <f t="shared" si="20"/>
        <v>13200</v>
      </c>
      <c r="H76" s="57"/>
      <c r="I76" s="8"/>
      <c r="J76" s="8"/>
      <c r="K76" s="8"/>
      <c r="L76" s="8"/>
      <c r="M76" s="8"/>
      <c r="N76" s="8"/>
      <c r="O76" s="8">
        <v>6800</v>
      </c>
      <c r="P76" s="8">
        <f t="shared" si="21"/>
        <v>6800</v>
      </c>
      <c r="Q76" s="57">
        <f t="shared" si="22"/>
        <v>20000</v>
      </c>
      <c r="R76" s="57">
        <f t="shared" si="23"/>
        <v>0</v>
      </c>
      <c r="S76" s="5"/>
      <c r="T76" s="5" t="s">
        <v>106</v>
      </c>
      <c r="U76" s="5"/>
      <c r="V76" s="5"/>
      <c r="W76" s="2"/>
    </row>
    <row r="77" spans="1:23" ht="12.75">
      <c r="A77" s="5" t="s">
        <v>97</v>
      </c>
      <c r="B77" s="8">
        <v>13000</v>
      </c>
      <c r="C77" s="57"/>
      <c r="D77" s="8"/>
      <c r="E77" s="8"/>
      <c r="F77" s="8">
        <v>8000</v>
      </c>
      <c r="G77" s="73">
        <f t="shared" si="20"/>
        <v>8000</v>
      </c>
      <c r="H77" s="57"/>
      <c r="I77" s="8"/>
      <c r="J77" s="8"/>
      <c r="K77" s="8"/>
      <c r="L77" s="8"/>
      <c r="M77" s="8"/>
      <c r="N77" s="8"/>
      <c r="O77" s="8"/>
      <c r="P77" s="8">
        <v>4800</v>
      </c>
      <c r="Q77" s="57">
        <f t="shared" si="22"/>
        <v>12800</v>
      </c>
      <c r="R77" s="57">
        <f t="shared" si="23"/>
        <v>-200</v>
      </c>
      <c r="S77" s="5"/>
      <c r="T77" s="5" t="s">
        <v>173</v>
      </c>
      <c r="U77" s="5"/>
      <c r="V77" s="5"/>
      <c r="W77" s="2"/>
    </row>
    <row r="78" spans="1:23" ht="12.75">
      <c r="A78" s="5" t="s">
        <v>145</v>
      </c>
      <c r="B78" s="8">
        <v>16000</v>
      </c>
      <c r="C78" s="57"/>
      <c r="D78" s="8"/>
      <c r="E78" s="8"/>
      <c r="F78" s="8">
        <v>16000</v>
      </c>
      <c r="G78" s="73">
        <f t="shared" si="20"/>
        <v>16000</v>
      </c>
      <c r="H78" s="57"/>
      <c r="I78" s="8"/>
      <c r="J78" s="8"/>
      <c r="K78" s="8"/>
      <c r="L78" s="8"/>
      <c r="M78" s="8"/>
      <c r="N78" s="8"/>
      <c r="O78" s="8"/>
      <c r="P78" s="8">
        <f>H78+I78+J78+K78+L78+M78+N78+O78</f>
        <v>0</v>
      </c>
      <c r="Q78" s="57">
        <f t="shared" si="22"/>
        <v>16000</v>
      </c>
      <c r="R78" s="57">
        <f t="shared" si="23"/>
        <v>0</v>
      </c>
      <c r="S78" s="5"/>
      <c r="T78" s="5" t="s">
        <v>138</v>
      </c>
      <c r="U78" s="5"/>
      <c r="V78" s="5"/>
      <c r="W78" s="2"/>
    </row>
    <row r="79" spans="1:23" ht="12.75">
      <c r="A79" s="5" t="s">
        <v>55</v>
      </c>
      <c r="B79" s="8">
        <v>5000</v>
      </c>
      <c r="C79" s="57">
        <v>2000</v>
      </c>
      <c r="D79" s="8"/>
      <c r="E79" s="8">
        <v>4000</v>
      </c>
      <c r="F79" s="8"/>
      <c r="G79" s="73">
        <f t="shared" si="20"/>
        <v>6000</v>
      </c>
      <c r="H79" s="57"/>
      <c r="I79" s="8"/>
      <c r="J79" s="8"/>
      <c r="K79" s="8"/>
      <c r="L79" s="8"/>
      <c r="M79" s="8"/>
      <c r="N79" s="8"/>
      <c r="O79" s="8"/>
      <c r="P79" s="8">
        <f>H79+I79+J79+K79+L79+M79+N79+O79</f>
        <v>0</v>
      </c>
      <c r="Q79" s="57">
        <f t="shared" si="22"/>
        <v>6000</v>
      </c>
      <c r="R79" s="57">
        <f t="shared" si="23"/>
        <v>1000</v>
      </c>
      <c r="S79" s="5"/>
      <c r="T79" s="5" t="s">
        <v>174</v>
      </c>
      <c r="U79" s="5"/>
      <c r="V79" s="5"/>
      <c r="W79" s="2"/>
    </row>
    <row r="80" spans="1:23" ht="12.75">
      <c r="A80" s="5" t="s">
        <v>50</v>
      </c>
      <c r="B80" s="8">
        <v>1800</v>
      </c>
      <c r="C80" s="57"/>
      <c r="D80" s="8"/>
      <c r="E80" s="8"/>
      <c r="F80" s="8">
        <v>1800</v>
      </c>
      <c r="G80" s="73">
        <f t="shared" si="20"/>
        <v>1800</v>
      </c>
      <c r="H80" s="57"/>
      <c r="I80" s="8"/>
      <c r="J80" s="8"/>
      <c r="K80" s="8"/>
      <c r="L80" s="8"/>
      <c r="M80" s="8"/>
      <c r="N80" s="8"/>
      <c r="O80" s="8"/>
      <c r="P80" s="8">
        <f>H80+I80+J80+K80+L80+M80+N80+O80</f>
        <v>0</v>
      </c>
      <c r="Q80" s="57">
        <f t="shared" si="22"/>
        <v>1800</v>
      </c>
      <c r="R80" s="57">
        <f t="shared" si="23"/>
        <v>0</v>
      </c>
      <c r="S80" s="5"/>
      <c r="T80" s="5" t="s">
        <v>175</v>
      </c>
      <c r="U80" s="5"/>
      <c r="V80" s="5"/>
      <c r="W80" s="2"/>
    </row>
    <row r="81" spans="1:23" ht="12.75">
      <c r="A81" s="5" t="s">
        <v>56</v>
      </c>
      <c r="B81" s="8">
        <v>0</v>
      </c>
      <c r="C81" s="57"/>
      <c r="D81" s="8"/>
      <c r="E81" s="8"/>
      <c r="F81" s="8"/>
      <c r="G81" s="73">
        <f t="shared" si="20"/>
        <v>0</v>
      </c>
      <c r="H81" s="57"/>
      <c r="I81" s="8"/>
      <c r="J81" s="8"/>
      <c r="K81" s="8"/>
      <c r="L81" s="8"/>
      <c r="M81" s="8"/>
      <c r="N81" s="8"/>
      <c r="O81" s="8"/>
      <c r="P81" s="8">
        <f>H81+I81+J81+K81+L81+M81+N81+O81</f>
        <v>0</v>
      </c>
      <c r="Q81" s="57">
        <f t="shared" si="22"/>
        <v>0</v>
      </c>
      <c r="R81" s="57">
        <f t="shared" si="23"/>
        <v>0</v>
      </c>
      <c r="S81" s="5"/>
      <c r="T81" s="5" t="s">
        <v>107</v>
      </c>
      <c r="U81" s="5"/>
      <c r="V81" s="5"/>
      <c r="W81" s="2"/>
    </row>
    <row r="82" spans="1:23" ht="12.75">
      <c r="A82" s="5" t="s">
        <v>139</v>
      </c>
      <c r="B82" s="8">
        <v>36000</v>
      </c>
      <c r="C82" s="57"/>
      <c r="D82" s="8"/>
      <c r="E82" s="36">
        <v>6000</v>
      </c>
      <c r="F82" s="36">
        <v>6000</v>
      </c>
      <c r="G82" s="73">
        <f t="shared" si="20"/>
        <v>12000</v>
      </c>
      <c r="H82" s="57"/>
      <c r="I82" s="8"/>
      <c r="J82" s="8"/>
      <c r="K82" s="8"/>
      <c r="L82" s="8"/>
      <c r="M82" s="9"/>
      <c r="N82" s="8"/>
      <c r="O82" s="36">
        <v>12000</v>
      </c>
      <c r="P82" s="36">
        <f>H82+I82+J82+K82+L82+M82+N82+O82</f>
        <v>12000</v>
      </c>
      <c r="Q82" s="57">
        <f t="shared" si="22"/>
        <v>24000</v>
      </c>
      <c r="R82" s="57">
        <f t="shared" si="23"/>
        <v>-12000</v>
      </c>
      <c r="S82" s="5"/>
      <c r="T82" s="5" t="s">
        <v>176</v>
      </c>
      <c r="U82" s="5"/>
      <c r="V82" s="5"/>
      <c r="W82" s="2"/>
    </row>
    <row r="83" spans="1:23" ht="12.75">
      <c r="A83" s="5" t="s">
        <v>140</v>
      </c>
      <c r="B83" s="8">
        <v>30000</v>
      </c>
      <c r="C83" s="57"/>
      <c r="D83" s="8"/>
      <c r="E83" s="37"/>
      <c r="F83" s="48"/>
      <c r="G83" s="73">
        <f t="shared" si="20"/>
        <v>0</v>
      </c>
      <c r="H83" s="57"/>
      <c r="I83" s="8"/>
      <c r="J83" s="8"/>
      <c r="K83" s="8"/>
      <c r="L83" s="8"/>
      <c r="M83" s="9"/>
      <c r="N83" s="8"/>
      <c r="O83" s="9"/>
      <c r="P83" s="8">
        <v>40000</v>
      </c>
      <c r="Q83" s="57">
        <f t="shared" si="22"/>
        <v>40000</v>
      </c>
      <c r="R83" s="57">
        <f t="shared" si="23"/>
        <v>10000</v>
      </c>
      <c r="S83" s="5"/>
      <c r="T83" s="5" t="s">
        <v>167</v>
      </c>
      <c r="U83" s="5"/>
      <c r="V83" s="5"/>
      <c r="W83" s="2"/>
    </row>
    <row r="84" spans="1:23" ht="12.75">
      <c r="A84" s="5" t="s">
        <v>141</v>
      </c>
      <c r="B84" s="8">
        <v>16000</v>
      </c>
      <c r="C84" s="57"/>
      <c r="D84" s="8"/>
      <c r="E84" s="8"/>
      <c r="F84" s="36">
        <v>16000</v>
      </c>
      <c r="G84" s="73">
        <f t="shared" si="20"/>
        <v>16000</v>
      </c>
      <c r="H84" s="57"/>
      <c r="I84" s="8"/>
      <c r="J84" s="8"/>
      <c r="K84" s="8"/>
      <c r="L84" s="8"/>
      <c r="M84" s="9"/>
      <c r="N84" s="8"/>
      <c r="O84" s="9"/>
      <c r="P84" s="8"/>
      <c r="Q84" s="57">
        <f t="shared" si="22"/>
        <v>16000</v>
      </c>
      <c r="R84" s="57">
        <f t="shared" si="23"/>
        <v>0</v>
      </c>
      <c r="S84" s="5"/>
      <c r="T84" s="5" t="s">
        <v>146</v>
      </c>
      <c r="U84" s="5"/>
      <c r="V84" s="5"/>
      <c r="W84" s="2"/>
    </row>
    <row r="85" spans="1:23" ht="12.75">
      <c r="A85" s="5" t="s">
        <v>80</v>
      </c>
      <c r="B85" s="8">
        <v>500</v>
      </c>
      <c r="C85" s="57"/>
      <c r="D85" s="8"/>
      <c r="E85" s="8"/>
      <c r="F85" s="48"/>
      <c r="G85" s="73">
        <f t="shared" si="20"/>
        <v>0</v>
      </c>
      <c r="H85" s="57"/>
      <c r="I85" s="8"/>
      <c r="J85" s="8"/>
      <c r="K85" s="8"/>
      <c r="L85" s="8"/>
      <c r="M85" s="8"/>
      <c r="N85" s="8"/>
      <c r="O85" s="8"/>
      <c r="P85" s="8">
        <f>H85+I85+J85+K85+L85+M85+N85+O85</f>
        <v>0</v>
      </c>
      <c r="Q85" s="57">
        <f t="shared" si="22"/>
        <v>0</v>
      </c>
      <c r="R85" s="57">
        <f t="shared" si="23"/>
        <v>-500</v>
      </c>
      <c r="S85" s="5"/>
      <c r="T85" s="5" t="s">
        <v>147</v>
      </c>
      <c r="U85" s="5"/>
      <c r="V85" s="5"/>
      <c r="W85" s="2"/>
    </row>
    <row r="86" spans="1:23" ht="12.75">
      <c r="A86" s="5" t="s">
        <v>152</v>
      </c>
      <c r="B86" s="8"/>
      <c r="C86" s="57">
        <v>10200</v>
      </c>
      <c r="D86" s="8"/>
      <c r="E86" s="8"/>
      <c r="F86" s="48">
        <v>10200</v>
      </c>
      <c r="G86" s="73">
        <f t="shared" si="20"/>
        <v>20400</v>
      </c>
      <c r="H86" s="57"/>
      <c r="I86" s="8"/>
      <c r="J86" s="8"/>
      <c r="K86" s="8"/>
      <c r="L86" s="8"/>
      <c r="M86" s="8"/>
      <c r="N86" s="8"/>
      <c r="O86" s="8"/>
      <c r="P86" s="8"/>
      <c r="Q86" s="57"/>
      <c r="R86" s="57"/>
      <c r="S86" s="5"/>
      <c r="T86" s="5"/>
      <c r="U86" s="5"/>
      <c r="V86" s="5"/>
      <c r="W86" s="2"/>
    </row>
    <row r="87" spans="1:23" ht="12.75">
      <c r="A87" s="5" t="s">
        <v>40</v>
      </c>
      <c r="B87" s="8">
        <v>180</v>
      </c>
      <c r="C87" s="57"/>
      <c r="D87" s="8"/>
      <c r="E87" s="8"/>
      <c r="F87" s="8"/>
      <c r="G87" s="73">
        <f t="shared" si="20"/>
        <v>0</v>
      </c>
      <c r="H87" s="57"/>
      <c r="I87" s="8"/>
      <c r="J87" s="8"/>
      <c r="K87" s="8"/>
      <c r="L87" s="8"/>
      <c r="M87" s="8"/>
      <c r="N87" s="8"/>
      <c r="O87" s="8">
        <v>180</v>
      </c>
      <c r="P87" s="8">
        <f>H87+I87+J87+K87+L87+M87+N87+O87</f>
        <v>180</v>
      </c>
      <c r="Q87" s="57">
        <f>G87+P87</f>
        <v>180</v>
      </c>
      <c r="R87" s="57">
        <f>Q87-B87</f>
        <v>0</v>
      </c>
      <c r="S87" s="5"/>
      <c r="T87" s="5"/>
      <c r="U87" s="5"/>
      <c r="V87" s="5"/>
      <c r="W87" s="2"/>
    </row>
    <row r="88" spans="1:23" ht="12.75">
      <c r="A88" s="1" t="s">
        <v>19</v>
      </c>
      <c r="B88" s="9">
        <v>853310.1875</v>
      </c>
      <c r="C88" s="58">
        <f aca="true" t="shared" si="24" ref="C88:R88">SUM(C63:C87)</f>
        <v>239663</v>
      </c>
      <c r="D88" s="9">
        <f t="shared" si="24"/>
        <v>0</v>
      </c>
      <c r="E88" s="9">
        <f t="shared" si="24"/>
        <v>31200</v>
      </c>
      <c r="F88" s="9">
        <f t="shared" si="24"/>
        <v>133500</v>
      </c>
      <c r="G88" s="75">
        <f t="shared" si="24"/>
        <v>404363</v>
      </c>
      <c r="H88" s="58">
        <f t="shared" si="24"/>
        <v>6000</v>
      </c>
      <c r="I88" s="9">
        <f t="shared" si="24"/>
        <v>0</v>
      </c>
      <c r="J88" s="9">
        <f t="shared" si="24"/>
        <v>0</v>
      </c>
      <c r="K88" s="9">
        <f t="shared" si="24"/>
        <v>90000</v>
      </c>
      <c r="L88" s="9">
        <f t="shared" si="24"/>
        <v>50000</v>
      </c>
      <c r="M88" s="9">
        <f t="shared" si="24"/>
        <v>20000</v>
      </c>
      <c r="N88" s="9">
        <f t="shared" si="24"/>
        <v>0</v>
      </c>
      <c r="O88" s="9">
        <f t="shared" si="24"/>
        <v>217320</v>
      </c>
      <c r="P88" s="9">
        <f t="shared" si="24"/>
        <v>428120</v>
      </c>
      <c r="Q88" s="58">
        <f t="shared" si="24"/>
        <v>812083</v>
      </c>
      <c r="R88" s="58">
        <f t="shared" si="24"/>
        <v>-24770.997500000027</v>
      </c>
      <c r="S88" s="5"/>
      <c r="T88" s="66">
        <f>R88/B88</f>
        <v>-0.02902930008672846</v>
      </c>
      <c r="U88" s="5" t="s">
        <v>120</v>
      </c>
      <c r="V88" s="5"/>
      <c r="W88" s="2"/>
    </row>
    <row r="89" spans="1:23" ht="12.75">
      <c r="A89" s="1"/>
      <c r="B89" s="8"/>
      <c r="C89" s="57"/>
      <c r="D89" s="8"/>
      <c r="E89" s="8"/>
      <c r="F89" s="8"/>
      <c r="G89" s="73"/>
      <c r="H89" s="57"/>
      <c r="I89" s="8"/>
      <c r="J89" s="8"/>
      <c r="K89" s="8"/>
      <c r="L89" s="8"/>
      <c r="M89" s="8"/>
      <c r="N89" s="8"/>
      <c r="O89" s="8"/>
      <c r="P89" s="8"/>
      <c r="Q89" s="57"/>
      <c r="R89" s="57"/>
      <c r="S89" s="5"/>
      <c r="T89" s="5"/>
      <c r="U89" s="5"/>
      <c r="V89" s="5"/>
      <c r="W89" s="2"/>
    </row>
    <row r="90" spans="1:23" ht="12.75">
      <c r="A90" s="1" t="s">
        <v>20</v>
      </c>
      <c r="B90" s="9">
        <v>-8673.43706799997</v>
      </c>
      <c r="C90" s="58">
        <f aca="true" t="shared" si="25" ref="C90:Q90">C88-C60</f>
        <v>130.32522983331</v>
      </c>
      <c r="D90" s="9">
        <f t="shared" si="25"/>
        <v>0</v>
      </c>
      <c r="E90" s="9">
        <f t="shared" si="25"/>
        <v>-18128.314302500003</v>
      </c>
      <c r="F90" s="9">
        <f t="shared" si="25"/>
        <v>18441.7197</v>
      </c>
      <c r="G90" s="75">
        <f t="shared" si="25"/>
        <v>443.7306273333379</v>
      </c>
      <c r="H90" s="58">
        <f t="shared" si="25"/>
        <v>-70730.8016</v>
      </c>
      <c r="I90" s="9">
        <f t="shared" si="25"/>
        <v>-91644.545186</v>
      </c>
      <c r="J90" s="9">
        <f t="shared" si="25"/>
        <v>-101426.362016</v>
      </c>
      <c r="K90" s="9">
        <f t="shared" si="25"/>
        <v>-782.3609854999959</v>
      </c>
      <c r="L90" s="9">
        <f t="shared" si="25"/>
        <v>-4454.6797044999985</v>
      </c>
      <c r="M90" s="9">
        <f t="shared" si="25"/>
        <v>184.5195300000014</v>
      </c>
      <c r="N90" s="9">
        <f t="shared" si="25"/>
        <v>-2642</v>
      </c>
      <c r="O90" s="9">
        <f t="shared" si="25"/>
        <v>170368.4</v>
      </c>
      <c r="P90" s="9">
        <f t="shared" si="25"/>
        <v>-56627.82996199996</v>
      </c>
      <c r="Q90" s="58">
        <f t="shared" si="25"/>
        <v>-76584.09933466662</v>
      </c>
      <c r="R90" s="58"/>
      <c r="S90" s="5"/>
      <c r="T90" s="5"/>
      <c r="U90" s="8"/>
      <c r="V90" s="5"/>
      <c r="W90" s="2"/>
    </row>
    <row r="91" spans="1:23" ht="12.75">
      <c r="A91" s="65" t="s">
        <v>108</v>
      </c>
      <c r="B91" s="67">
        <v>0</v>
      </c>
      <c r="C91" s="58"/>
      <c r="D91" s="67"/>
      <c r="E91" s="67">
        <v>0</v>
      </c>
      <c r="F91" s="9"/>
      <c r="G91" s="75">
        <f>C91+D91+E91+F91</f>
        <v>0</v>
      </c>
      <c r="H91" s="67">
        <v>80000</v>
      </c>
      <c r="I91" s="9"/>
      <c r="J91" s="9"/>
      <c r="K91" s="9"/>
      <c r="L91" s="9"/>
      <c r="M91" s="9"/>
      <c r="N91" s="9"/>
      <c r="O91" s="9"/>
      <c r="P91" s="9"/>
      <c r="Q91" s="68">
        <f>H91</f>
        <v>80000</v>
      </c>
      <c r="R91" s="58"/>
      <c r="S91" s="5"/>
      <c r="T91" s="5"/>
      <c r="U91" s="8"/>
      <c r="V91" s="5"/>
      <c r="W91" s="2"/>
    </row>
    <row r="92" spans="1:23" ht="12.75">
      <c r="A92" s="65" t="s">
        <v>137</v>
      </c>
      <c r="B92" s="9">
        <v>2297.356265333363</v>
      </c>
      <c r="C92" s="58"/>
      <c r="D92" s="67">
        <f>D90+D91</f>
        <v>0</v>
      </c>
      <c r="E92" s="67">
        <f>E90+E91</f>
        <v>-18128.314302500003</v>
      </c>
      <c r="F92" s="67"/>
      <c r="G92" s="75">
        <f>G90+G91</f>
        <v>443.7306273333379</v>
      </c>
      <c r="H92" s="68"/>
      <c r="I92" s="67"/>
      <c r="J92" s="67"/>
      <c r="K92" s="67"/>
      <c r="L92" s="67"/>
      <c r="M92" s="67"/>
      <c r="N92" s="67"/>
      <c r="O92" s="67"/>
      <c r="P92" s="67"/>
      <c r="Q92" s="58">
        <f>SUM(Q90:Q91)</f>
        <v>3415.900665333378</v>
      </c>
      <c r="R92" s="58"/>
      <c r="S92" s="5"/>
      <c r="T92" s="5"/>
      <c r="U92" s="8"/>
      <c r="V92" s="5"/>
      <c r="W92" s="2"/>
    </row>
    <row r="93" spans="1:23" ht="12.75">
      <c r="A93" s="6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58"/>
      <c r="S93" s="5"/>
      <c r="T93" s="5"/>
      <c r="U93" s="8"/>
      <c r="V93" s="5"/>
      <c r="W93" s="2"/>
    </row>
    <row r="94" spans="1:23" ht="12.75" hidden="1">
      <c r="A94" s="38" t="s">
        <v>57</v>
      </c>
      <c r="B94" s="37">
        <v>160273.4370679999</v>
      </c>
      <c r="C94" s="58"/>
      <c r="D94" s="9"/>
      <c r="E94" s="9"/>
      <c r="F94" s="9"/>
      <c r="G94" s="77">
        <f>G66+G67+G82+G84-G92</f>
        <v>74056.26937266666</v>
      </c>
      <c r="H94" s="60"/>
      <c r="I94" s="37"/>
      <c r="J94" s="37"/>
      <c r="K94" s="37"/>
      <c r="L94" s="37"/>
      <c r="M94" s="37"/>
      <c r="N94" s="37"/>
      <c r="O94" s="36"/>
      <c r="P94" s="37">
        <f>P66+P67+P82+P83-P90+P77</f>
        <v>157927.82996199996</v>
      </c>
      <c r="Q94" s="60">
        <f>G94+P94</f>
        <v>231984.09933466662</v>
      </c>
      <c r="R94" s="57"/>
      <c r="S94" s="5"/>
      <c r="T94" s="5"/>
      <c r="U94" s="5"/>
      <c r="V94" s="5"/>
      <c r="W94" s="2"/>
    </row>
    <row r="95" spans="1:23" ht="12.75" hidden="1">
      <c r="A95" s="38" t="s">
        <v>63</v>
      </c>
      <c r="B95" s="37">
        <v>165000</v>
      </c>
      <c r="C95" s="58"/>
      <c r="D95" s="9"/>
      <c r="E95" s="9"/>
      <c r="F95" s="9"/>
      <c r="G95" s="77">
        <v>98000</v>
      </c>
      <c r="H95" s="60"/>
      <c r="I95" s="37"/>
      <c r="J95" s="37"/>
      <c r="K95" s="37"/>
      <c r="L95" s="37"/>
      <c r="M95" s="37"/>
      <c r="N95" s="37"/>
      <c r="O95" s="37"/>
      <c r="P95" s="37">
        <v>80000</v>
      </c>
      <c r="Q95" s="60">
        <v>165000</v>
      </c>
      <c r="R95" s="57"/>
      <c r="S95" s="5"/>
      <c r="T95" s="5"/>
      <c r="U95" s="5"/>
      <c r="V95" s="5"/>
      <c r="W95" s="2"/>
    </row>
    <row r="96" spans="1:17" ht="12.75">
      <c r="A96" s="1"/>
      <c r="B96" s="5"/>
      <c r="C96" s="8"/>
      <c r="D96" s="8"/>
      <c r="E96" s="8"/>
      <c r="F96" s="5"/>
      <c r="G96" s="5"/>
      <c r="H96" s="5"/>
      <c r="I96" s="5"/>
      <c r="J96" s="5"/>
      <c r="K96" s="2"/>
      <c r="Q96" s="5"/>
    </row>
    <row r="97" spans="1:17" ht="12.75">
      <c r="A97" s="1"/>
      <c r="B97" s="8"/>
      <c r="C97" s="5"/>
      <c r="D97" s="5"/>
      <c r="E97" s="5"/>
      <c r="F97" s="5"/>
      <c r="G97" s="5"/>
      <c r="H97" s="5"/>
      <c r="I97" s="5"/>
      <c r="J97" s="5"/>
      <c r="K97" s="2"/>
      <c r="Q97" s="8"/>
    </row>
    <row r="98" spans="1:17" ht="12.75">
      <c r="A98" s="1"/>
      <c r="B98" s="8"/>
      <c r="C98" s="35"/>
      <c r="D98" s="35"/>
      <c r="E98" s="35"/>
      <c r="F98" s="5"/>
      <c r="G98" s="5"/>
      <c r="H98" s="5"/>
      <c r="I98" s="5"/>
      <c r="J98" s="5"/>
      <c r="K98" s="2"/>
      <c r="Q98" s="8"/>
    </row>
    <row r="99" spans="1:17" ht="12.75">
      <c r="A99" s="10"/>
      <c r="B99" s="5"/>
      <c r="C99" s="5"/>
      <c r="D99" s="5"/>
      <c r="E99" s="5"/>
      <c r="F99" s="5"/>
      <c r="G99" s="5"/>
      <c r="H99" s="5"/>
      <c r="I99" s="5"/>
      <c r="J99" s="5"/>
      <c r="K99" s="2"/>
      <c r="Q99" s="5"/>
    </row>
    <row r="100" spans="1:17" ht="12.75">
      <c r="A100" s="1"/>
      <c r="B100" s="35"/>
      <c r="C100" s="1"/>
      <c r="D100" s="1"/>
      <c r="E100" s="1"/>
      <c r="F100" s="5"/>
      <c r="G100" s="5"/>
      <c r="H100" s="5"/>
      <c r="I100" s="5"/>
      <c r="J100" s="5"/>
      <c r="K100" s="2"/>
      <c r="Q100" s="3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2"/>
      <c r="Q101" s="5"/>
    </row>
    <row r="102" spans="1:17" ht="12.75">
      <c r="A102" s="5"/>
      <c r="B102" s="1"/>
      <c r="F102" s="1"/>
      <c r="G102" s="1"/>
      <c r="H102" s="1"/>
      <c r="I102" s="1"/>
      <c r="J102" s="1"/>
      <c r="K102" s="3"/>
      <c r="Q102" s="1"/>
    </row>
    <row r="103" spans="1:17" ht="12.75">
      <c r="A103" s="5"/>
      <c r="B103" s="5"/>
      <c r="F103" s="5"/>
      <c r="G103" s="5"/>
      <c r="H103" s="5"/>
      <c r="I103" s="5"/>
      <c r="J103" s="5"/>
      <c r="K103" s="2"/>
      <c r="Q103" s="5"/>
    </row>
  </sheetData>
  <sheetProtection/>
  <printOptions/>
  <pageMargins left="0.5" right="0.5" top="0.75" bottom="0.75" header="0.3" footer="0.3"/>
  <pageSetup fitToHeight="0" fitToWidth="1" horizontalDpi="600" verticalDpi="600" orientation="landscape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Financial Literacy</cp:lastModifiedBy>
  <cp:lastPrinted>2018-12-10T20:41:03Z</cp:lastPrinted>
  <dcterms:created xsi:type="dcterms:W3CDTF">2007-11-15T22:37:25Z</dcterms:created>
  <dcterms:modified xsi:type="dcterms:W3CDTF">2019-01-07T14:12:43Z</dcterms:modified>
  <cp:category/>
  <cp:version/>
  <cp:contentType/>
  <cp:contentStatus/>
</cp:coreProperties>
</file>